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miller\AppData\Local\AxiomTemp\jk1bndjv.rmq\"/>
    </mc:Choice>
  </mc:AlternateContent>
  <xr:revisionPtr revIDLastSave="0" documentId="8_{AF2F3C27-AF1F-4B36-BBA2-29283DAE624D}" xr6:coauthVersionLast="45" xr6:coauthVersionMax="45" xr10:uidLastSave="{00000000-0000-0000-0000-000000000000}"/>
  <bookViews>
    <workbookView xWindow="-108" yWindow="-108" windowWidth="23256" windowHeight="12576" tabRatio="601" firstSheet="1" activeTab="4" xr2:uid="{00000000-000D-0000-FFFF-FFFF00000000}"/>
  </bookViews>
  <sheets>
    <sheet name="Control_FileProcessing" sheetId="2" state="hidden" r:id="rId1"/>
    <sheet name="Control_Sheet" sheetId="6" r:id="rId2"/>
    <sheet name="Variables" sheetId="5" state="hidden" r:id="rId3"/>
    <sheet name="Instructions" sheetId="3" r:id="rId4"/>
    <sheet name="DeptSpecificFcstAdj" sheetId="4" r:id="rId5"/>
  </sheets>
  <definedNames>
    <definedName name="_xlnm._FilterDatabase" localSheetId="4" hidden="1">DeptSpecificFcstAdj!$E$64:$AA$123</definedName>
    <definedName name="_xlnm.Print_Area" localSheetId="4">DeptSpecificFcstAdj!$H$71:$Z$161</definedName>
    <definedName name="_xlnm.Print_Titles" localSheetId="4">DeptSpecificFcstAdj!$71:$76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10" i="4" l="1"/>
  <c r="BH7" i="4"/>
  <c r="Y42" i="4" l="1"/>
  <c r="X42" i="4"/>
  <c r="W42" i="4"/>
  <c r="V42" i="4"/>
  <c r="Y31" i="4"/>
  <c r="X31" i="4"/>
  <c r="W31" i="4"/>
  <c r="V31" i="4"/>
  <c r="D72" i="5"/>
  <c r="F76" i="4" l="1"/>
  <c r="H76" i="4"/>
  <c r="I115" i="4"/>
  <c r="BG30" i="4" l="1" a="1"/>
  <c r="BG30" i="4" s="1"/>
  <c r="BG29" i="4" a="1"/>
  <c r="BG29" i="4" s="1"/>
  <c r="BG19" i="4" a="1"/>
  <c r="BG19" i="4" s="1"/>
  <c r="BG18" i="4" a="1"/>
  <c r="BG18" i="4" s="1"/>
  <c r="BG9" i="4" a="1"/>
  <c r="BG9" i="4" s="1"/>
  <c r="BG8" i="4" a="1"/>
  <c r="BG8" i="4" s="1"/>
  <c r="BG41" i="4" a="1"/>
  <c r="BG41" i="4" s="1"/>
  <c r="BG40" i="4" a="1"/>
  <c r="BG40" i="4" s="1"/>
  <c r="B84" i="4" l="1"/>
  <c r="A84" i="4" s="1"/>
  <c r="B79" i="4"/>
  <c r="I81" i="4"/>
  <c r="I86" i="4"/>
  <c r="U86" i="4"/>
  <c r="T86" i="4"/>
  <c r="S86" i="4"/>
  <c r="R86" i="4"/>
  <c r="Q86" i="4"/>
  <c r="P86" i="4"/>
  <c r="O86" i="4"/>
  <c r="N86" i="4"/>
  <c r="BG42" i="4"/>
  <c r="BG31" i="4"/>
  <c r="N61" i="4" a="1"/>
  <c r="N76" i="4" a="1"/>
  <c r="N61" i="4" l="1"/>
  <c r="N76" i="4"/>
  <c r="D42" i="4"/>
  <c r="D31" i="4"/>
  <c r="H282" i="6"/>
  <c r="F282" i="6"/>
  <c r="H214" i="6"/>
  <c r="F214" i="6"/>
  <c r="J213" i="6"/>
  <c r="J214" i="6" s="1"/>
  <c r="H146" i="6"/>
  <c r="F146" i="6"/>
  <c r="J145" i="6"/>
  <c r="J146" i="6" s="1"/>
  <c r="J78" i="6"/>
  <c r="H78" i="6"/>
  <c r="F78" i="6"/>
  <c r="J41" i="6"/>
  <c r="H41" i="6"/>
  <c r="F41" i="6"/>
  <c r="C276" i="6"/>
  <c r="C208" i="6"/>
  <c r="C140" i="6"/>
  <c r="C72" i="6"/>
  <c r="H40" i="4"/>
  <c r="H41" i="4" s="1"/>
  <c r="H42" i="4" s="1"/>
  <c r="H43" i="4" s="1"/>
  <c r="F40" i="4"/>
  <c r="F41" i="4" s="1"/>
  <c r="F42" i="4" s="1"/>
  <c r="F43" i="4" s="1"/>
  <c r="H29" i="4"/>
  <c r="H30" i="4" s="1"/>
  <c r="H31" i="4" s="1"/>
  <c r="H32" i="4" s="1"/>
  <c r="F29" i="4"/>
  <c r="F30" i="4" s="1"/>
  <c r="F31" i="4" s="1"/>
  <c r="F32" i="4" s="1"/>
  <c r="H18" i="4"/>
  <c r="H19" i="4" s="1"/>
  <c r="H20" i="4" s="1"/>
  <c r="H21" i="4" s="1"/>
  <c r="F18" i="4"/>
  <c r="F19" i="4" s="1"/>
  <c r="F20" i="4" s="1"/>
  <c r="F21" i="4" s="1"/>
  <c r="F8" i="4"/>
  <c r="F9" i="4" s="1"/>
  <c r="F10" i="4" s="1"/>
  <c r="H8" i="4"/>
  <c r="H9" i="4" s="1"/>
  <c r="H10" i="4" s="1"/>
  <c r="AE43" i="4"/>
  <c r="AD41" i="4"/>
  <c r="AC40" i="4"/>
  <c r="AE32" i="4"/>
  <c r="AD30" i="4"/>
  <c r="AC29" i="4"/>
  <c r="AE21" i="4"/>
  <c r="AD19" i="4"/>
  <c r="AC18" i="4"/>
  <c r="AE10" i="4"/>
  <c r="AD9" i="4"/>
  <c r="AC8" i="4"/>
  <c r="P123" i="4"/>
  <c r="O123" i="4"/>
  <c r="N123" i="4"/>
  <c r="P150" i="4"/>
  <c r="O150" i="4"/>
  <c r="N150" i="4"/>
  <c r="P144" i="4"/>
  <c r="O144" i="4"/>
  <c r="N144" i="4"/>
  <c r="P131" i="4"/>
  <c r="O131" i="4"/>
  <c r="N131" i="4"/>
  <c r="R138" i="4"/>
  <c r="Q138" i="4"/>
  <c r="P138" i="4"/>
  <c r="O138" i="4"/>
  <c r="N138" i="4"/>
  <c r="Q115" i="4"/>
  <c r="P115" i="4"/>
  <c r="O115" i="4"/>
  <c r="N115" i="4"/>
  <c r="U108" i="4"/>
  <c r="T108" i="4"/>
  <c r="S108" i="4"/>
  <c r="R108" i="4"/>
  <c r="Q108" i="4"/>
  <c r="P108" i="4"/>
  <c r="O108" i="4"/>
  <c r="N108" i="4"/>
  <c r="U103" i="4"/>
  <c r="T103" i="4"/>
  <c r="S103" i="4"/>
  <c r="R103" i="4"/>
  <c r="Q103" i="4"/>
  <c r="P103" i="4"/>
  <c r="O103" i="4"/>
  <c r="N103" i="4"/>
  <c r="P98" i="4"/>
  <c r="O98" i="4"/>
  <c r="N98" i="4"/>
  <c r="O93" i="4"/>
  <c r="P93" i="4"/>
  <c r="N93" i="4"/>
  <c r="O81" i="4"/>
  <c r="P81" i="4"/>
  <c r="N81" i="4"/>
  <c r="O10" i="4"/>
  <c r="P10" i="4"/>
  <c r="Q10" i="4"/>
  <c r="R10" i="4"/>
  <c r="S10" i="4"/>
  <c r="T10" i="4"/>
  <c r="U10" i="4"/>
  <c r="V10" i="4"/>
  <c r="W10" i="4"/>
  <c r="X10" i="4"/>
  <c r="Y10" i="4"/>
  <c r="N10" i="4"/>
  <c r="I6" i="5"/>
  <c r="I123" i="4"/>
  <c r="B121" i="4"/>
  <c r="A121" i="4" s="1"/>
  <c r="I150" i="4"/>
  <c r="B148" i="4"/>
  <c r="A148" i="4" s="1"/>
  <c r="I144" i="4"/>
  <c r="B142" i="4"/>
  <c r="A142" i="4" s="1"/>
  <c r="I138" i="4"/>
  <c r="B136" i="4"/>
  <c r="A136" i="4" s="1"/>
  <c r="I131" i="4"/>
  <c r="B129" i="4"/>
  <c r="A129" i="4" s="1"/>
  <c r="B113" i="4"/>
  <c r="A113" i="4" s="1"/>
  <c r="I108" i="4"/>
  <c r="B106" i="4"/>
  <c r="A106" i="4" s="1"/>
  <c r="I103" i="4"/>
  <c r="B101" i="4"/>
  <c r="A101" i="4" s="1"/>
  <c r="I98" i="4"/>
  <c r="B96" i="4"/>
  <c r="A96" i="4" s="1"/>
  <c r="I93" i="4"/>
  <c r="B91" i="4"/>
  <c r="A91" i="4" s="1"/>
  <c r="L59" i="4"/>
  <c r="L58" i="4"/>
  <c r="L57" i="4"/>
  <c r="O48" i="4"/>
  <c r="D23" i="2"/>
  <c r="P25" i="5"/>
  <c r="I35" i="5"/>
  <c r="I16" i="5"/>
  <c r="Q26" i="5"/>
  <c r="O76" i="4" a="1"/>
  <c r="I15" i="5"/>
  <c r="Q25" i="5"/>
  <c r="O24" i="5"/>
  <c r="I34" i="5"/>
  <c r="I30" i="5"/>
  <c r="I37" i="5"/>
  <c r="H37" i="5"/>
  <c r="I33" i="5"/>
  <c r="P24" i="5"/>
  <c r="I31" i="5"/>
  <c r="O26" i="5"/>
  <c r="I38" i="5"/>
  <c r="Q24" i="5"/>
  <c r="H38" i="5"/>
  <c r="I19" i="5"/>
  <c r="P26" i="5"/>
  <c r="I32" i="5"/>
  <c r="O25" i="5"/>
  <c r="N117" i="4" l="1"/>
  <c r="P117" i="4"/>
  <c r="O117" i="4"/>
  <c r="V20" i="4"/>
  <c r="Y20" i="4"/>
  <c r="W20" i="4"/>
  <c r="X20" i="4"/>
  <c r="N151" i="4"/>
  <c r="N139" i="4"/>
  <c r="P139" i="4"/>
  <c r="P151" i="4"/>
  <c r="O139" i="4"/>
  <c r="O151" i="4"/>
  <c r="O76" i="4"/>
  <c r="P48" i="4"/>
  <c r="Q48" i="4" s="1"/>
  <c r="BG20" i="4"/>
  <c r="BG21" i="4" s="1"/>
  <c r="J11" i="6"/>
  <c r="J66" i="6"/>
  <c r="J281" i="6"/>
  <c r="J282" i="6" s="1"/>
  <c r="N145" i="4"/>
  <c r="P145" i="4"/>
  <c r="O145" i="4"/>
  <c r="N133" i="4"/>
  <c r="P133" i="4"/>
  <c r="O133" i="4"/>
  <c r="O132" i="4"/>
  <c r="P132" i="4"/>
  <c r="N124" i="4"/>
  <c r="N132" i="4"/>
  <c r="N154" i="4"/>
  <c r="N155" i="4" s="1"/>
  <c r="P154" i="4"/>
  <c r="P155" i="4" s="1"/>
  <c r="O154" i="4"/>
  <c r="O155" i="4" s="1"/>
  <c r="BG43" i="4"/>
  <c r="BG32" i="4"/>
  <c r="I46" i="4"/>
  <c r="Z10" i="4"/>
  <c r="I36" i="5"/>
  <c r="X72" i="4"/>
  <c r="D51" i="2"/>
  <c r="J55" i="4"/>
  <c r="I56" i="5"/>
  <c r="I46" i="5"/>
  <c r="J49" i="4" s="1"/>
  <c r="I63" i="5"/>
  <c r="I51" i="5"/>
  <c r="I43" i="5"/>
  <c r="I60" i="5"/>
  <c r="I55" i="5"/>
  <c r="I45" i="5"/>
  <c r="K16" i="5"/>
  <c r="I50" i="5"/>
  <c r="I42" i="5"/>
  <c r="J47" i="4" s="1"/>
  <c r="J16" i="5"/>
  <c r="I59" i="5"/>
  <c r="I52" i="5"/>
  <c r="I44" i="5"/>
  <c r="J48" i="4" s="1"/>
  <c r="I49" i="5"/>
  <c r="F72" i="4"/>
  <c r="A79" i="4"/>
  <c r="L60" i="4"/>
  <c r="K18" i="5"/>
  <c r="K26" i="5"/>
  <c r="J24" i="5"/>
  <c r="M25" i="5"/>
  <c r="O61" i="4" a="1"/>
  <c r="L26" i="5"/>
  <c r="F74" i="4" a="1"/>
  <c r="I18" i="5"/>
  <c r="I21" i="5"/>
  <c r="I24" i="5"/>
  <c r="N26" i="5"/>
  <c r="K24" i="5"/>
  <c r="N24" i="5"/>
  <c r="M24" i="5"/>
  <c r="I25" i="5"/>
  <c r="I17" i="5"/>
  <c r="K25" i="5"/>
  <c r="N25" i="5"/>
  <c r="I26" i="5"/>
  <c r="M26" i="5"/>
  <c r="J26" i="5"/>
  <c r="L25" i="5"/>
  <c r="J25" i="5"/>
  <c r="L24" i="5"/>
  <c r="J18" i="5"/>
  <c r="K53" i="4" a="1"/>
  <c r="Q61" i="4" a="1"/>
  <c r="AE66" i="4" l="1"/>
  <c r="AD65" i="4"/>
  <c r="AC64" i="4"/>
  <c r="AB34" i="4"/>
  <c r="AB23" i="4"/>
  <c r="AB12" i="4"/>
  <c r="AB3" i="4"/>
  <c r="O61" i="4"/>
  <c r="O124" i="4" s="1"/>
  <c r="Q61" i="4"/>
  <c r="K53" i="4"/>
  <c r="F74" i="4"/>
  <c r="E64" i="4"/>
  <c r="E66" i="4"/>
  <c r="E65" i="4"/>
  <c r="O50" i="4"/>
  <c r="W50" i="4"/>
  <c r="P50" i="4"/>
  <c r="X50" i="4"/>
  <c r="Q50" i="4"/>
  <c r="Y50" i="4"/>
  <c r="R50" i="4"/>
  <c r="N50" i="4"/>
  <c r="S50" i="4"/>
  <c r="T50" i="4"/>
  <c r="U50" i="4"/>
  <c r="V50" i="4"/>
  <c r="Z50" i="4"/>
  <c r="I20" i="5"/>
  <c r="F73" i="4"/>
  <c r="R48" i="4"/>
  <c r="K45" i="5"/>
  <c r="K60" i="5"/>
  <c r="K52" i="5"/>
  <c r="K44" i="5"/>
  <c r="K56" i="5"/>
  <c r="K51" i="5"/>
  <c r="J51" i="5"/>
  <c r="J43" i="5"/>
  <c r="J55" i="5"/>
  <c r="J45" i="5"/>
  <c r="L16" i="5"/>
  <c r="J50" i="5"/>
  <c r="J42" i="5"/>
  <c r="J59" i="5"/>
  <c r="J52" i="5"/>
  <c r="J44" i="5"/>
  <c r="J49" i="5"/>
  <c r="J56" i="5"/>
  <c r="R62" i="4"/>
  <c r="Y62" i="4"/>
  <c r="Q62" i="4"/>
  <c r="X62" i="4"/>
  <c r="P62" i="4"/>
  <c r="W62" i="4"/>
  <c r="O62" i="4"/>
  <c r="V62" i="4"/>
  <c r="N62" i="4"/>
  <c r="U62" i="4"/>
  <c r="T62" i="4"/>
  <c r="S62" i="4"/>
  <c r="P76" i="4" a="1"/>
  <c r="Y72" i="4" a="1"/>
  <c r="Q76" i="4" a="1"/>
  <c r="X73" i="4" a="1"/>
  <c r="P61" i="4" a="1"/>
  <c r="R61" i="4" a="1"/>
  <c r="Q76" i="4" l="1"/>
  <c r="Y72" i="4"/>
  <c r="X73" i="4"/>
  <c r="P76" i="4"/>
  <c r="P61" i="4"/>
  <c r="P124" i="4" s="1"/>
  <c r="N34" i="4"/>
  <c r="N23" i="4"/>
  <c r="N16" i="4"/>
  <c r="N6" i="4"/>
  <c r="N38" i="4"/>
  <c r="N27" i="4"/>
  <c r="N12" i="4"/>
  <c r="N3" i="4"/>
  <c r="R34" i="4"/>
  <c r="R23" i="4"/>
  <c r="R16" i="4"/>
  <c r="R3" i="4"/>
  <c r="R38" i="4"/>
  <c r="R27" i="4"/>
  <c r="R12" i="4"/>
  <c r="R6" i="4"/>
  <c r="O38" i="4"/>
  <c r="O27" i="4"/>
  <c r="O12" i="4"/>
  <c r="O6" i="4"/>
  <c r="O34" i="4"/>
  <c r="O23" i="4"/>
  <c r="O16" i="4"/>
  <c r="O3" i="4"/>
  <c r="S34" i="4"/>
  <c r="S23" i="4"/>
  <c r="S16" i="4"/>
  <c r="S3" i="4"/>
  <c r="S38" i="4"/>
  <c r="S27" i="4"/>
  <c r="S12" i="4"/>
  <c r="S6" i="4"/>
  <c r="Q38" i="4"/>
  <c r="Q27" i="4"/>
  <c r="Q12" i="4"/>
  <c r="Q6" i="4"/>
  <c r="Q34" i="4"/>
  <c r="Q23" i="4"/>
  <c r="Q16" i="4"/>
  <c r="Q3" i="4"/>
  <c r="V38" i="4"/>
  <c r="V27" i="4"/>
  <c r="V12" i="4"/>
  <c r="V6" i="4"/>
  <c r="V34" i="4"/>
  <c r="V23" i="4"/>
  <c r="V16" i="4"/>
  <c r="V3" i="4"/>
  <c r="W38" i="4"/>
  <c r="W27" i="4"/>
  <c r="W12" i="4"/>
  <c r="W6" i="4"/>
  <c r="W34" i="4"/>
  <c r="W23" i="4"/>
  <c r="W16" i="4"/>
  <c r="W3" i="4"/>
  <c r="P38" i="4"/>
  <c r="P27" i="4"/>
  <c r="P12" i="4"/>
  <c r="P6" i="4"/>
  <c r="P34" i="4"/>
  <c r="P23" i="4"/>
  <c r="P16" i="4"/>
  <c r="P3" i="4"/>
  <c r="X38" i="4"/>
  <c r="X27" i="4"/>
  <c r="X12" i="4"/>
  <c r="X6" i="4"/>
  <c r="X34" i="4"/>
  <c r="X23" i="4"/>
  <c r="X16" i="4"/>
  <c r="X3" i="4"/>
  <c r="T34" i="4"/>
  <c r="T23" i="4"/>
  <c r="T16" i="4"/>
  <c r="T3" i="4"/>
  <c r="T38" i="4"/>
  <c r="T27" i="4"/>
  <c r="T12" i="4"/>
  <c r="T6" i="4"/>
  <c r="U38" i="4"/>
  <c r="U27" i="4"/>
  <c r="U12" i="4"/>
  <c r="U6" i="4"/>
  <c r="U34" i="4"/>
  <c r="U23" i="4"/>
  <c r="U16" i="4"/>
  <c r="U3" i="4"/>
  <c r="Y38" i="4"/>
  <c r="Y27" i="4"/>
  <c r="Y12" i="4"/>
  <c r="Y6" i="4"/>
  <c r="Y34" i="4"/>
  <c r="Y23" i="4"/>
  <c r="Y16" i="4"/>
  <c r="Y3" i="4"/>
  <c r="R61" i="4"/>
  <c r="P64" i="4"/>
  <c r="P65" i="4"/>
  <c r="W64" i="4"/>
  <c r="W65" i="4"/>
  <c r="O64" i="4"/>
  <c r="O65" i="4"/>
  <c r="T65" i="4"/>
  <c r="T64" i="4"/>
  <c r="Q64" i="4"/>
  <c r="Q65" i="4"/>
  <c r="S64" i="4"/>
  <c r="S65" i="4"/>
  <c r="X64" i="4"/>
  <c r="X65" i="4"/>
  <c r="U65" i="4"/>
  <c r="U64" i="4"/>
  <c r="Y64" i="4"/>
  <c r="Y65" i="4"/>
  <c r="N64" i="4"/>
  <c r="N65" i="4"/>
  <c r="R64" i="4"/>
  <c r="R65" i="4"/>
  <c r="V65" i="4"/>
  <c r="V64" i="4"/>
  <c r="V35" i="4"/>
  <c r="V36" i="4"/>
  <c r="R36" i="4"/>
  <c r="R35" i="4"/>
  <c r="O36" i="4"/>
  <c r="O35" i="4"/>
  <c r="N35" i="4"/>
  <c r="N36" i="4"/>
  <c r="W35" i="4"/>
  <c r="W36" i="4"/>
  <c r="S36" i="4"/>
  <c r="S35" i="4"/>
  <c r="X36" i="4"/>
  <c r="X35" i="4"/>
  <c r="P36" i="4"/>
  <c r="P35" i="4"/>
  <c r="T36" i="4"/>
  <c r="T35" i="4"/>
  <c r="Q36" i="4"/>
  <c r="Q35" i="4"/>
  <c r="U35" i="4"/>
  <c r="U36" i="4"/>
  <c r="Y36" i="4"/>
  <c r="Y35" i="4"/>
  <c r="Y25" i="4"/>
  <c r="Y24" i="4"/>
  <c r="R25" i="4"/>
  <c r="R24" i="4"/>
  <c r="V24" i="4"/>
  <c r="V25" i="4"/>
  <c r="U24" i="4"/>
  <c r="U25" i="4"/>
  <c r="N24" i="4"/>
  <c r="N25" i="4"/>
  <c r="O25" i="4"/>
  <c r="O24" i="4"/>
  <c r="W24" i="4"/>
  <c r="W25" i="4"/>
  <c r="P25" i="4"/>
  <c r="P24" i="4"/>
  <c r="S25" i="4"/>
  <c r="S24" i="4"/>
  <c r="X25" i="4"/>
  <c r="X24" i="4"/>
  <c r="T24" i="4"/>
  <c r="T25" i="4"/>
  <c r="Q25" i="4"/>
  <c r="Q24" i="4"/>
  <c r="U4" i="4"/>
  <c r="U14" i="4"/>
  <c r="U13" i="4"/>
  <c r="Y4" i="4"/>
  <c r="Y14" i="4"/>
  <c r="Y13" i="4"/>
  <c r="N4" i="4"/>
  <c r="N14" i="4"/>
  <c r="N13" i="4"/>
  <c r="R4" i="4"/>
  <c r="R14" i="4"/>
  <c r="R13" i="4"/>
  <c r="V4" i="4"/>
  <c r="V14" i="4"/>
  <c r="V13" i="4"/>
  <c r="O4" i="4"/>
  <c r="O13" i="4"/>
  <c r="O14" i="4"/>
  <c r="W4" i="4"/>
  <c r="W13" i="4"/>
  <c r="W14" i="4"/>
  <c r="S4" i="4"/>
  <c r="S14" i="4"/>
  <c r="S13" i="4"/>
  <c r="X4" i="4"/>
  <c r="X13" i="4"/>
  <c r="X14" i="4"/>
  <c r="P4" i="4"/>
  <c r="P13" i="4"/>
  <c r="P14" i="4"/>
  <c r="T4" i="4"/>
  <c r="T14" i="4"/>
  <c r="T13" i="4"/>
  <c r="Q4" i="4"/>
  <c r="Q14" i="4"/>
  <c r="Q13" i="4"/>
  <c r="R5" i="4"/>
  <c r="T5" i="4"/>
  <c r="P5" i="4"/>
  <c r="Q5" i="4"/>
  <c r="O5" i="4"/>
  <c r="X5" i="4"/>
  <c r="Y5" i="4"/>
  <c r="S5" i="4"/>
  <c r="W5" i="4"/>
  <c r="N5" i="4"/>
  <c r="V5" i="4"/>
  <c r="U5" i="4"/>
  <c r="P60" i="4"/>
  <c r="P59" i="4" s="1"/>
  <c r="O60" i="4"/>
  <c r="O59" i="4" s="1"/>
  <c r="J53" i="4"/>
  <c r="L55" i="5"/>
  <c r="L50" i="5"/>
  <c r="L42" i="5"/>
  <c r="L49" i="5"/>
  <c r="L43" i="5"/>
  <c r="S48" i="4"/>
  <c r="Y19" i="4" a="1"/>
  <c r="W19" i="4" a="1"/>
  <c r="R76" i="4" a="1"/>
  <c r="S76" i="4" a="1"/>
  <c r="X19" i="4" a="1"/>
  <c r="Y18" i="4" a="1"/>
  <c r="V18" i="4" a="1"/>
  <c r="V19" i="4" a="1"/>
  <c r="R76" i="4" l="1"/>
  <c r="K34" i="4"/>
  <c r="K23" i="4"/>
  <c r="K12" i="4"/>
  <c r="K3" i="4"/>
  <c r="Q18" i="4" a="1"/>
  <c r="Q18" i="4" s="1"/>
  <c r="R18" i="4" a="1"/>
  <c r="R18" i="4" s="1"/>
  <c r="S19" i="4" a="1"/>
  <c r="S19" i="4" s="1"/>
  <c r="O19" i="4" a="1"/>
  <c r="O19" i="4" s="1"/>
  <c r="U18" i="4" a="1"/>
  <c r="U18" i="4" s="1"/>
  <c r="U19" i="4" a="1"/>
  <c r="U19" i="4" s="1"/>
  <c r="T18" i="4" a="1"/>
  <c r="T18" i="4" s="1"/>
  <c r="N18" i="4" a="1"/>
  <c r="N18" i="4" s="1"/>
  <c r="P18" i="4" a="1"/>
  <c r="P18" i="4" s="1"/>
  <c r="Q19" i="4" a="1"/>
  <c r="Q19" i="4" s="1"/>
  <c r="O18" i="4" a="1"/>
  <c r="O18" i="4" s="1"/>
  <c r="P19" i="4" a="1"/>
  <c r="P19" i="4" s="1"/>
  <c r="N19" i="4" a="1"/>
  <c r="N19" i="4" s="1"/>
  <c r="T19" i="4" a="1"/>
  <c r="T19" i="4" s="1"/>
  <c r="S18" i="4" a="1"/>
  <c r="S18" i="4" s="1"/>
  <c r="R19" i="4" a="1"/>
  <c r="R19" i="4" s="1"/>
  <c r="X19" i="4"/>
  <c r="V19" i="4"/>
  <c r="V18" i="4"/>
  <c r="Y18" i="4"/>
  <c r="W19" i="4"/>
  <c r="Y19" i="4"/>
  <c r="S76" i="4"/>
  <c r="Z35" i="4"/>
  <c r="Z24" i="4"/>
  <c r="O57" i="4"/>
  <c r="P58" i="4"/>
  <c r="P57" i="4"/>
  <c r="O58" i="4"/>
  <c r="Z13" i="4"/>
  <c r="N60" i="4"/>
  <c r="T48" i="4"/>
  <c r="W18" i="4" a="1"/>
  <c r="V40" i="4" a="1"/>
  <c r="W29" i="4" a="1"/>
  <c r="Y29" i="4" a="1"/>
  <c r="W40" i="4" a="1"/>
  <c r="S61" i="4" a="1"/>
  <c r="X30" i="4" a="1"/>
  <c r="Y40" i="4" a="1"/>
  <c r="X18" i="4" a="1"/>
  <c r="V41" i="4" a="1"/>
  <c r="Y41" i="4" a="1"/>
  <c r="V29" i="4" a="1"/>
  <c r="X41" i="4" a="1"/>
  <c r="W30" i="4" a="1"/>
  <c r="W41" i="4" a="1"/>
  <c r="X40" i="4" a="1"/>
  <c r="Y30" i="4" a="1"/>
  <c r="T61" i="4" a="1"/>
  <c r="V30" i="4" a="1"/>
  <c r="X29" i="4" a="1"/>
  <c r="X30" i="4" l="1"/>
  <c r="W41" i="4"/>
  <c r="V41" i="4"/>
  <c r="W40" i="4"/>
  <c r="Y29" i="4"/>
  <c r="V29" i="4"/>
  <c r="V40" i="4"/>
  <c r="X41" i="4"/>
  <c r="V30" i="4"/>
  <c r="W29" i="4"/>
  <c r="Y30" i="4"/>
  <c r="X29" i="4"/>
  <c r="Y41" i="4"/>
  <c r="Y40" i="4"/>
  <c r="W30" i="4"/>
  <c r="X40" i="4"/>
  <c r="X18" i="4"/>
  <c r="W18" i="4"/>
  <c r="R21" i="4"/>
  <c r="U21" i="4"/>
  <c r="Q21" i="4"/>
  <c r="S32" i="4"/>
  <c r="N21" i="4"/>
  <c r="R32" i="4"/>
  <c r="S43" i="4"/>
  <c r="T43" i="4"/>
  <c r="S21" i="4"/>
  <c r="T21" i="4"/>
  <c r="Q32" i="4"/>
  <c r="Q43" i="4"/>
  <c r="R43" i="4"/>
  <c r="O21" i="4"/>
  <c r="P21" i="4"/>
  <c r="P32" i="4"/>
  <c r="O43" i="4"/>
  <c r="N43" i="4"/>
  <c r="P43" i="4"/>
  <c r="N32" i="4"/>
  <c r="U43" i="4"/>
  <c r="U32" i="4"/>
  <c r="T32" i="4"/>
  <c r="O32" i="4"/>
  <c r="S61" i="4"/>
  <c r="T61" i="4"/>
  <c r="N59" i="4"/>
  <c r="N57" i="4"/>
  <c r="N58" i="4"/>
  <c r="BG10" i="4"/>
  <c r="P157" i="4"/>
  <c r="O157" i="4"/>
  <c r="N157" i="4"/>
  <c r="U48" i="4"/>
  <c r="T76" i="4" a="1"/>
  <c r="U76" i="4" a="1"/>
  <c r="U61" i="4" a="1"/>
  <c r="T76" i="4" l="1"/>
  <c r="V43" i="4"/>
  <c r="V32" i="4"/>
  <c r="U61" i="4"/>
  <c r="U76" i="4"/>
  <c r="Y21" i="4"/>
  <c r="W32" i="4"/>
  <c r="V21" i="4"/>
  <c r="X32" i="4"/>
  <c r="W43" i="4"/>
  <c r="Y32" i="4"/>
  <c r="X21" i="4"/>
  <c r="X43" i="4"/>
  <c r="W21" i="4"/>
  <c r="Y43" i="4"/>
  <c r="R98" i="4"/>
  <c r="V48" i="4"/>
  <c r="V61" i="4" a="1"/>
  <c r="Y103" i="4" l="1"/>
  <c r="X103" i="4"/>
  <c r="Z108" i="4"/>
  <c r="W103" i="4"/>
  <c r="X108" i="4"/>
  <c r="W108" i="4"/>
  <c r="Y86" i="4"/>
  <c r="Y108" i="4"/>
  <c r="V86" i="4"/>
  <c r="W86" i="4"/>
  <c r="X86" i="4"/>
  <c r="V103" i="4"/>
  <c r="Z43" i="4"/>
  <c r="Z32" i="4"/>
  <c r="Z21" i="4"/>
  <c r="T138" i="4"/>
  <c r="S138" i="4"/>
  <c r="U138" i="4"/>
  <c r="R115" i="4"/>
  <c r="V108" i="4"/>
  <c r="V61" i="4"/>
  <c r="Y138" i="4"/>
  <c r="X138" i="4"/>
  <c r="W138" i="4"/>
  <c r="V138" i="4"/>
  <c r="S150" i="4"/>
  <c r="S81" i="4"/>
  <c r="U81" i="4"/>
  <c r="T81" i="4"/>
  <c r="R81" i="4"/>
  <c r="V81" i="4"/>
  <c r="Q81" i="4"/>
  <c r="Y81" i="4"/>
  <c r="X81" i="4"/>
  <c r="W81" i="4"/>
  <c r="W48" i="4"/>
  <c r="V76" i="4" a="1"/>
  <c r="W61" i="4" a="1"/>
  <c r="Z103" i="4" l="1"/>
  <c r="Z86" i="4"/>
  <c r="S98" i="4"/>
  <c r="S93" i="4"/>
  <c r="U98" i="4"/>
  <c r="U93" i="4"/>
  <c r="T98" i="4"/>
  <c r="S115" i="4"/>
  <c r="V76" i="4"/>
  <c r="Y60" i="4"/>
  <c r="Y57" i="4" s="1"/>
  <c r="Y139" i="4"/>
  <c r="V60" i="4"/>
  <c r="V57" i="4" s="1"/>
  <c r="V139" i="4"/>
  <c r="R60" i="4"/>
  <c r="R58" i="4" s="1"/>
  <c r="R139" i="4"/>
  <c r="T60" i="4"/>
  <c r="T59" i="4" s="1"/>
  <c r="T139" i="4"/>
  <c r="U60" i="4"/>
  <c r="U57" i="4" s="1"/>
  <c r="U139" i="4"/>
  <c r="W60" i="4"/>
  <c r="W58" i="4" s="1"/>
  <c r="W139" i="4"/>
  <c r="S60" i="4"/>
  <c r="S59" i="4" s="1"/>
  <c r="S139" i="4"/>
  <c r="S151" i="4"/>
  <c r="X60" i="4"/>
  <c r="X59" i="4" s="1"/>
  <c r="X139" i="4"/>
  <c r="Q60" i="4"/>
  <c r="Q58" i="4" s="1"/>
  <c r="Q139" i="4"/>
  <c r="X93" i="4"/>
  <c r="Y93" i="4"/>
  <c r="W61" i="4"/>
  <c r="V93" i="4"/>
  <c r="W98" i="4"/>
  <c r="X98" i="4"/>
  <c r="Z138" i="4"/>
  <c r="W93" i="4"/>
  <c r="Y98" i="4"/>
  <c r="V98" i="4"/>
  <c r="R150" i="4"/>
  <c r="R151" i="4" s="1"/>
  <c r="Y150" i="4"/>
  <c r="Y151" i="4" s="1"/>
  <c r="W150" i="4"/>
  <c r="W151" i="4" s="1"/>
  <c r="V150" i="4"/>
  <c r="V151" i="4" s="1"/>
  <c r="U150" i="4"/>
  <c r="U151" i="4" s="1"/>
  <c r="U123" i="4"/>
  <c r="U124" i="4" s="1"/>
  <c r="T150" i="4"/>
  <c r="T151" i="4" s="1"/>
  <c r="X150" i="4"/>
  <c r="X151" i="4" s="1"/>
  <c r="U131" i="4"/>
  <c r="U133" i="4" s="1"/>
  <c r="R123" i="4"/>
  <c r="R124" i="4" s="1"/>
  <c r="W123" i="4"/>
  <c r="T123" i="4"/>
  <c r="R131" i="4"/>
  <c r="R133" i="4" s="1"/>
  <c r="X123" i="4"/>
  <c r="S131" i="4"/>
  <c r="S133" i="4" s="1"/>
  <c r="T144" i="4"/>
  <c r="T145" i="4" s="1"/>
  <c r="Y131" i="4"/>
  <c r="Y133" i="4" s="1"/>
  <c r="V131" i="4"/>
  <c r="V133" i="4" s="1"/>
  <c r="X131" i="4"/>
  <c r="X133" i="4" s="1"/>
  <c r="Y123" i="4"/>
  <c r="S123" i="4"/>
  <c r="S124" i="4" s="1"/>
  <c r="T131" i="4"/>
  <c r="T133" i="4" s="1"/>
  <c r="V123" i="4"/>
  <c r="W131" i="4"/>
  <c r="W133" i="4" s="1"/>
  <c r="Q131" i="4"/>
  <c r="Q133" i="4" s="1"/>
  <c r="Q123" i="4"/>
  <c r="Y144" i="4"/>
  <c r="Y145" i="4" s="1"/>
  <c r="Q150" i="4"/>
  <c r="Q151" i="4" s="1"/>
  <c r="Q144" i="4"/>
  <c r="Q145" i="4" s="1"/>
  <c r="W144" i="4"/>
  <c r="W145" i="4" s="1"/>
  <c r="S144" i="4"/>
  <c r="X144" i="4"/>
  <c r="X145" i="4" s="1"/>
  <c r="R93" i="4"/>
  <c r="R117" i="4" s="1"/>
  <c r="R144" i="4"/>
  <c r="R145" i="4" s="1"/>
  <c r="V144" i="4"/>
  <c r="V145" i="4" s="1"/>
  <c r="U144" i="4"/>
  <c r="T93" i="4"/>
  <c r="Q93" i="4"/>
  <c r="Q98" i="4"/>
  <c r="Z81" i="4"/>
  <c r="X48" i="4"/>
  <c r="W76" i="4" a="1"/>
  <c r="X61" i="4" a="1"/>
  <c r="S117" i="4" l="1"/>
  <c r="Q117" i="4"/>
  <c r="T115" i="4"/>
  <c r="T117" i="4" s="1"/>
  <c r="W76" i="4"/>
  <c r="Q59" i="4"/>
  <c r="S57" i="4"/>
  <c r="X57" i="4"/>
  <c r="R57" i="4"/>
  <c r="U58" i="4"/>
  <c r="U59" i="4"/>
  <c r="V58" i="4"/>
  <c r="W59" i="4"/>
  <c r="W57" i="4"/>
  <c r="X58" i="4"/>
  <c r="V59" i="4"/>
  <c r="Y58" i="4"/>
  <c r="Q57" i="4"/>
  <c r="R59" i="4"/>
  <c r="Y59" i="4"/>
  <c r="S58" i="4"/>
  <c r="T57" i="4"/>
  <c r="Z139" i="4"/>
  <c r="T58" i="4"/>
  <c r="Z60" i="4"/>
  <c r="X61" i="4"/>
  <c r="Z93" i="4"/>
  <c r="Z98" i="4"/>
  <c r="T154" i="4"/>
  <c r="U132" i="4"/>
  <c r="S154" i="4"/>
  <c r="S145" i="4"/>
  <c r="Z123" i="4"/>
  <c r="U154" i="4"/>
  <c r="U145" i="4"/>
  <c r="Y154" i="4"/>
  <c r="Z150" i="4"/>
  <c r="Z151" i="4" s="1"/>
  <c r="V154" i="4"/>
  <c r="R132" i="4"/>
  <c r="V132" i="4"/>
  <c r="R154" i="4"/>
  <c r="Y132" i="4"/>
  <c r="X132" i="4"/>
  <c r="T132" i="4"/>
  <c r="W132" i="4"/>
  <c r="W154" i="4"/>
  <c r="T124" i="4"/>
  <c r="Z131" i="4"/>
  <c r="X154" i="4"/>
  <c r="V124" i="4"/>
  <c r="S132" i="4"/>
  <c r="Q132" i="4"/>
  <c r="Q124" i="4"/>
  <c r="W124" i="4"/>
  <c r="Q154" i="4"/>
  <c r="Q155" i="4" s="1"/>
  <c r="Z144" i="4"/>
  <c r="Z145" i="4" s="1"/>
  <c r="Y48" i="4"/>
  <c r="X76" i="4" a="1"/>
  <c r="Y61" i="4" a="1"/>
  <c r="U115" i="4" l="1"/>
  <c r="U117" i="4" s="1"/>
  <c r="U157" i="4" s="1"/>
  <c r="X76" i="4"/>
  <c r="Z59" i="4"/>
  <c r="Z57" i="4"/>
  <c r="Z58" i="4"/>
  <c r="Z154" i="4"/>
  <c r="Y61" i="4"/>
  <c r="W155" i="4"/>
  <c r="T157" i="4"/>
  <c r="T155" i="4"/>
  <c r="Y155" i="4"/>
  <c r="V155" i="4"/>
  <c r="U155" i="4"/>
  <c r="X155" i="4"/>
  <c r="R157" i="4"/>
  <c r="R155" i="4"/>
  <c r="S157" i="4"/>
  <c r="S155" i="4"/>
  <c r="Z133" i="4"/>
  <c r="Z132" i="4"/>
  <c r="X124" i="4"/>
  <c r="Q157" i="4"/>
  <c r="Z4" i="4"/>
  <c r="Y76" i="4" a="1"/>
  <c r="V115" i="4" l="1"/>
  <c r="V117" i="4" s="1"/>
  <c r="V157" i="4" s="1"/>
  <c r="Y76" i="4"/>
  <c r="Z155" i="4"/>
  <c r="Y124" i="4"/>
  <c r="Z61" i="4"/>
  <c r="Z124" i="4" s="1"/>
  <c r="Z47" i="4"/>
  <c r="W115" i="4" l="1"/>
  <c r="W117" i="4" s="1"/>
  <c r="W157" i="4" s="1"/>
  <c r="X115" i="4" l="1"/>
  <c r="X117" i="4" s="1"/>
  <c r="X157" i="4" s="1"/>
  <c r="Y115" i="4" l="1"/>
  <c r="Y117" i="4" s="1"/>
  <c r="Y157" i="4" s="1"/>
  <c r="Z115" i="4"/>
  <c r="Z117" i="4" s="1"/>
  <c r="Z15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<sst xmlns="http://schemas.openxmlformats.org/spreadsheetml/2006/main" count="1406" uniqueCount="587">
  <si>
    <t>[DateAdded]</t>
  </si>
  <si>
    <t>[SAVETYPE1ENABLED]</t>
  </si>
  <si>
    <t/>
  </si>
  <si>
    <t>Initial Dynamic View (view on open)</t>
  </si>
  <si>
    <t>Refresh Forms Run Behavior</t>
  </si>
  <si>
    <t>[SheetFilter1]</t>
  </si>
  <si>
    <t>[SheetFilter5]</t>
  </si>
  <si>
    <t xml:space="preserve">    Max row warning threshold (leave blank for system default)</t>
  </si>
  <si>
    <t>Rebuild Data Ranges</t>
  </si>
  <si>
    <t xml:space="preserve">   Update existing data</t>
  </si>
  <si>
    <t>B</t>
  </si>
  <si>
    <t>(if you need more Axiom Queries, you can use</t>
  </si>
  <si>
    <t>Current Value Defaults</t>
  </si>
  <si>
    <t>Sort results by these database columns</t>
  </si>
  <si>
    <t xml:space="preserve">Sheets to Process </t>
  </si>
  <si>
    <t>Batch Mode Source AQ</t>
  </si>
  <si>
    <t>Email Settings</t>
  </si>
  <si>
    <t>L74:L75</t>
  </si>
  <si>
    <t>DEPT</t>
  </si>
  <si>
    <t>Method</t>
  </si>
  <si>
    <t>Current Dynamic Column Views</t>
  </si>
  <si>
    <t>Use Cached Settings</t>
  </si>
  <si>
    <t>[View;Default]</t>
  </si>
  <si>
    <t>Disable quick filter</t>
  </si>
  <si>
    <t>DataLookups to run on open</t>
  </si>
  <si>
    <t>Clear DataLookups on save</t>
  </si>
  <si>
    <t>Default Zoom</t>
  </si>
  <si>
    <t>ACCT.BudgetType IN ('KeyIP', 'KeyOP', 'KeyOth','OthStat')</t>
  </si>
  <si>
    <t>(enter sheet name above)</t>
  </si>
  <si>
    <t>[SAVETYPE3TABLENAME]</t>
  </si>
  <si>
    <t>Workbook Options</t>
  </si>
  <si>
    <t>[RefreshFormsRunBehavior]</t>
  </si>
  <si>
    <t xml:space="preserve">    Primary Table</t>
  </si>
  <si>
    <t>[PREQUERYFILTER]</t>
  </si>
  <si>
    <t>[POSTQUERYFILTER]</t>
  </si>
  <si>
    <t>[MAXAQROWS]</t>
  </si>
  <si>
    <t>[TOPNAQROWS]</t>
  </si>
  <si>
    <t>[INSERTIONCONTROLCOL]</t>
  </si>
  <si>
    <t xml:space="preserve">   Calculation Methods</t>
  </si>
  <si>
    <t>Refresh during document processing</t>
  </si>
  <si>
    <t>[AQ2]</t>
  </si>
  <si>
    <t>Current Year</t>
  </si>
  <si>
    <t>Limit MultiPass iterations by this filter</t>
  </si>
  <si>
    <t>[FILEPROCESSING_SNAPSHOTFILETYPE]</t>
  </si>
  <si>
    <t>Output Filename</t>
  </si>
  <si>
    <t>Open Output File after Processing</t>
  </si>
  <si>
    <t>Printer</t>
  </si>
  <si>
    <t>M74:M75</t>
  </si>
  <si>
    <t>KeyIP</t>
  </si>
  <si>
    <t>Salaries</t>
  </si>
  <si>
    <t>AQ4: Hours</t>
  </si>
  <si>
    <t>P3</t>
  </si>
  <si>
    <t>P10</t>
  </si>
  <si>
    <t>Report_[Current_Value]</t>
  </si>
  <si>
    <t>[MasterSheet]</t>
  </si>
  <si>
    <t>ColumnValue</t>
  </si>
  <si>
    <t>Enable Message Stream</t>
  </si>
  <si>
    <t>(advanced) Disable DocID During Zero</t>
  </si>
  <si>
    <t>[SAVETYPE3ENABLED]</t>
  </si>
  <si>
    <t>Freeze Panes (e.g. B5:D8)</t>
  </si>
  <si>
    <t>[ActiveCellOnOpen]</t>
  </si>
  <si>
    <t>[WHERE]</t>
  </si>
  <si>
    <t xml:space="preserve">    Limit query to top "n" results</t>
  </si>
  <si>
    <t>3:3</t>
  </si>
  <si>
    <t>[DEFAULTCM]</t>
  </si>
  <si>
    <t xml:space="preserve">    Control Rows and Columns</t>
  </si>
  <si>
    <t>FILE PROCESSING CONTROL SHEET</t>
  </si>
  <si>
    <t>Screen Updating</t>
  </si>
  <si>
    <t>Apply MultiPass Data Filter to these Tabletypes</t>
  </si>
  <si>
    <t>Apply MultiPass Data Filter to these Tables</t>
  </si>
  <si>
    <t>Activate</t>
  </si>
  <si>
    <t>[FILEPROCESSING_SAVEDATASETTING]</t>
  </si>
  <si>
    <t>Save Data Mode</t>
  </si>
  <si>
    <t>[SAVEDATABATCH_SOURCEAQ]</t>
  </si>
  <si>
    <t>Print Settings</t>
  </si>
  <si>
    <t>Bcc</t>
  </si>
  <si>
    <t>Actual Data vs Forecast</t>
  </si>
  <si>
    <t>Other Patient Revenue</t>
  </si>
  <si>
    <t>DeptSpecificFcstAdj</t>
  </si>
  <si>
    <t>P7</t>
  </si>
  <si>
    <t>Period</t>
  </si>
  <si>
    <t>Last Year -1</t>
  </si>
  <si>
    <t>Actual 12</t>
  </si>
  <si>
    <t>Dept:</t>
  </si>
  <si>
    <t>[IsRequired]</t>
  </si>
  <si>
    <t>[ProcessDefinitionID]</t>
  </si>
  <si>
    <t>N43</t>
  </si>
  <si>
    <t>Control_Sheet</t>
  </si>
  <si>
    <t>[SAVETYPE4ENABLED]</t>
  </si>
  <si>
    <t>[ProcessAlertsOnSaveData]</t>
  </si>
  <si>
    <t>Sheet Protection On/Off</t>
  </si>
  <si>
    <t>Active Cell (selected on open)</t>
  </si>
  <si>
    <t>Data/Zero Options</t>
  </si>
  <si>
    <t>Refresh all Axiom functions on open</t>
  </si>
  <si>
    <t>Convert Axiom function results to zero on save</t>
  </si>
  <si>
    <t>[RefreshCSBetweenAQs]</t>
  </si>
  <si>
    <t>Enable full AQ query validation mode</t>
  </si>
  <si>
    <t>Name (used in Plan Refresh utility)</t>
  </si>
  <si>
    <t>[SUPPRESS]</t>
  </si>
  <si>
    <t>Control Rows and Columns</t>
  </si>
  <si>
    <t>Default Calc Method - plan files only</t>
  </si>
  <si>
    <t xml:space="preserve">       Conversion Scenario Override (overrides default setting from table)</t>
  </si>
  <si>
    <t>Save Data Settings</t>
  </si>
  <si>
    <t>[PRINTER]</t>
  </si>
  <si>
    <t>System</t>
  </si>
  <si>
    <t>Save Results to Output Sheet</t>
  </si>
  <si>
    <t>Save Data</t>
  </si>
  <si>
    <t>.txt (period delimited)</t>
  </si>
  <si>
    <t>File Collect</t>
  </si>
  <si>
    <t>Organization Name</t>
  </si>
  <si>
    <t>Inpatient Statistics</t>
  </si>
  <si>
    <t>IPRev</t>
  </si>
  <si>
    <t>Deductions</t>
  </si>
  <si>
    <t>Month Ending Date</t>
  </si>
  <si>
    <t>FTE Factor</t>
  </si>
  <si>
    <t>Actual</t>
  </si>
  <si>
    <t>Budget Detail</t>
  </si>
  <si>
    <t>Payroll Tables</t>
  </si>
  <si>
    <t>Actual 27</t>
  </si>
  <si>
    <t>[ApplyRowViewsOnOpen]</t>
  </si>
  <si>
    <t>[SHEETCOLUMNVIEWS]</t>
  </si>
  <si>
    <t>Current Dynamic Row Views</t>
  </si>
  <si>
    <t>CYB Table&gt;&gt;&gt;</t>
  </si>
  <si>
    <t>[IsEnabled]</t>
  </si>
  <si>
    <r>
      <t>To save data to the database, select</t>
    </r>
    <r>
      <rPr>
        <b/>
        <sz val="11"/>
        <rFont val="Segoe UI"/>
        <family val="2"/>
        <scheme val="minor"/>
      </rPr>
      <t xml:space="preserve"> SAVE</t>
    </r>
    <r>
      <rPr>
        <sz val="10"/>
        <rFont val="Segoe UI"/>
        <family val="2"/>
        <scheme val="minor"/>
      </rPr>
      <t xml:space="preserve"> from the Ribbon</t>
    </r>
  </si>
  <si>
    <t>CYFDim Group</t>
  </si>
  <si>
    <t>Enable Drilling</t>
  </si>
  <si>
    <t>[CheckForTableDataChanged]</t>
  </si>
  <si>
    <t>[SheetControlColumn]</t>
  </si>
  <si>
    <t>[DateUpdated]</t>
  </si>
  <si>
    <t>Table Name for Save Type 3</t>
  </si>
  <si>
    <t>Table Folder for Save Type 3</t>
  </si>
  <si>
    <t>[SheetFilter4]</t>
  </si>
  <si>
    <t>[GROUPROWSBY]</t>
  </si>
  <si>
    <t>Insert Control Column with start/stop tag</t>
  </si>
  <si>
    <t>OR</t>
  </si>
  <si>
    <t>[REBUILD]</t>
  </si>
  <si>
    <t>General Settings</t>
  </si>
  <si>
    <t>[FILEPROCESSING_TYPE]</t>
  </si>
  <si>
    <t>Processing Type</t>
  </si>
  <si>
    <t>[FILEPROCESSING_MULTIPASSFILTERTABLETYPES]</t>
  </si>
  <si>
    <t>[FILEPROCESSING_INCLUDEHEADERS]</t>
  </si>
  <si>
    <t>[FILEPROCESSING_OUTPUTFILENAME]</t>
  </si>
  <si>
    <t>[FILEPROCESSING_OUTPUTSHEETNAME]</t>
  </si>
  <si>
    <t>[PRINT_VIEWS]</t>
  </si>
  <si>
    <t>[FILEPROCESSING_EMAILFROM]</t>
  </si>
  <si>
    <t>[FILEPROCESSING_EMAILSUBJECTLINE]</t>
  </si>
  <si>
    <t>Convert Axiom Formulas Only</t>
  </si>
  <si>
    <t>Create an Output File for Each Pass</t>
  </si>
  <si>
    <t>.txt (pipe delimited)</t>
  </si>
  <si>
    <t>Alerts</t>
  </si>
  <si>
    <t>FILTERS</t>
  </si>
  <si>
    <t>Benefits</t>
  </si>
  <si>
    <t>PaidHours</t>
  </si>
  <si>
    <t>By Table Type</t>
  </si>
  <si>
    <t>AQ2: Revenues</t>
  </si>
  <si>
    <t>Next Year</t>
  </si>
  <si>
    <t>CYA Table&gt;&gt;&gt;</t>
  </si>
  <si>
    <t>Master Sheet</t>
  </si>
  <si>
    <t>[ClearSelectedValueOnSave]</t>
  </si>
  <si>
    <t>Sheet Filter</t>
  </si>
  <si>
    <t>[DataLookupsToRunOnOpen]</t>
  </si>
  <si>
    <t>Refresh only if primary table changed since last refresh</t>
  </si>
  <si>
    <t xml:space="preserve"> </t>
  </si>
  <si>
    <t>ACCT.BudgetType IN ('IPRev', 'OPRev', 'OthPtRev', 'OtherRev')</t>
  </si>
  <si>
    <t>Data Context</t>
  </si>
  <si>
    <t>WorkbookSettings</t>
  </si>
  <si>
    <t>Save Type 1 Enabled</t>
  </si>
  <si>
    <t>Zero on save enabled</t>
  </si>
  <si>
    <t>(advanced) Custom ZeroTag Column</t>
  </si>
  <si>
    <t>[AssociatedTaskPane]</t>
  </si>
  <si>
    <t>[ZeroAQFormulasOnSave]</t>
  </si>
  <si>
    <t>[AQ1]</t>
  </si>
  <si>
    <t>Active</t>
  </si>
  <si>
    <t xml:space="preserve">    Post Query Sum By (advanced)</t>
  </si>
  <si>
    <t xml:space="preserve">    Insertion Behavior</t>
  </si>
  <si>
    <t>[USESPREADSHEETGROUPLINES]</t>
  </si>
  <si>
    <t>Field Definition Row(s)</t>
  </si>
  <si>
    <t>[AssignCMsExcelValueColumn]</t>
  </si>
  <si>
    <t xml:space="preserve">        In-Sheet Calc Method Column(s) - Horizontal AQ</t>
  </si>
  <si>
    <t>[REFRESHONMANUALREFRESH]</t>
  </si>
  <si>
    <t>[UPDATE]</t>
  </si>
  <si>
    <t>[INSERT]</t>
  </si>
  <si>
    <t>[CurConvType]</t>
  </si>
  <si>
    <t>File Processing Filter</t>
  </si>
  <si>
    <t>Print Views</t>
  </si>
  <si>
    <t>Save and Email Files</t>
  </si>
  <si>
    <t>.txt (semicolon delimited)</t>
  </si>
  <si>
    <t>YTD</t>
  </si>
  <si>
    <t>CYA</t>
  </si>
  <si>
    <t>KeyOth</t>
  </si>
  <si>
    <t>ACCT</t>
  </si>
  <si>
    <t>OtherExp</t>
  </si>
  <si>
    <t>SaveTagCustom</t>
  </si>
  <si>
    <t>P4</t>
  </si>
  <si>
    <t>P11</t>
  </si>
  <si>
    <t>NY</t>
  </si>
  <si>
    <t>[View;All]</t>
  </si>
  <si>
    <t>[RefreshVariables]</t>
  </si>
  <si>
    <t>[csversion]</t>
  </si>
  <si>
    <t>OnManualRefreshAndOpen</t>
  </si>
  <si>
    <t>[DataContext]</t>
  </si>
  <si>
    <t>Configuration</t>
  </si>
  <si>
    <t>Date added</t>
  </si>
  <si>
    <t>Save To Database Setup</t>
  </si>
  <si>
    <t>[WorkbookProtection]</t>
  </si>
  <si>
    <t>Workbook Protection On/Off</t>
  </si>
  <si>
    <t>Sheet Visible/ Hidden</t>
  </si>
  <si>
    <t>Sheet Filters</t>
  </si>
  <si>
    <t>Table or Table Type</t>
  </si>
  <si>
    <t xml:space="preserve">    Sum data by these columns (e.g. Table.field;Table.field)</t>
  </si>
  <si>
    <t xml:space="preserve">    Post Query Filter (advanced)</t>
  </si>
  <si>
    <t>Display / User Interaction Options</t>
  </si>
  <si>
    <t>[FIELDDEFINITIONROWS]</t>
  </si>
  <si>
    <t>In-Sheet Calc Method Row(s) - Vertical AQ</t>
  </si>
  <si>
    <t xml:space="preserve">        Field Definition Column(s)</t>
  </si>
  <si>
    <t>[INSERTIONCONTROLROW]</t>
  </si>
  <si>
    <t>Refresh on manual refresh</t>
  </si>
  <si>
    <t>6:6</t>
  </si>
  <si>
    <t>Multi Pass AQ</t>
  </si>
  <si>
    <t>Delimiter and File Type</t>
  </si>
  <si>
    <t>[FILEPROCESSING_OUTPUTFOLDER]</t>
  </si>
  <si>
    <t>Save Data at End of Processing</t>
  </si>
  <si>
    <t>Batch Variables</t>
  </si>
  <si>
    <t>.xls</t>
  </si>
  <si>
    <t>P8</t>
  </si>
  <si>
    <t>[FILEPROCESSING_USECACHEDSETTINGS]</t>
  </si>
  <si>
    <t>[actioncodes]</t>
  </si>
  <si>
    <t>Activate sheet on open</t>
  </si>
  <si>
    <t>[SHOWGRIDLINES]</t>
  </si>
  <si>
    <t>Data Context Description</t>
  </si>
  <si>
    <t>Is Data Context Checked Out</t>
  </si>
  <si>
    <t>[AqBatchNumber]</t>
  </si>
  <si>
    <t xml:space="preserve">    Batch Number (leave blank to use normal AQ processing)</t>
  </si>
  <si>
    <t>Freeze Pane (Variables sheet)</t>
  </si>
  <si>
    <t>Save Type 3 Enabled</t>
  </si>
  <si>
    <t>[WorkbookProtectionInSnapshot]</t>
  </si>
  <si>
    <t>[WorkbookRestrictedToReadOnly]</t>
  </si>
  <si>
    <t>[SHEETFREEZE]</t>
  </si>
  <si>
    <t>On</t>
  </si>
  <si>
    <t>[EXCELSORT]</t>
  </si>
  <si>
    <t>[ISHORIZONTALINSERT]</t>
  </si>
  <si>
    <t>Vertical Configuration</t>
  </si>
  <si>
    <t xml:space="preserve">   Insert new records</t>
  </si>
  <si>
    <t xml:space="preserve">       Conversion Type Override (overrides default setting from table)</t>
  </si>
  <si>
    <t>the Sheet Assistant to add more)</t>
  </si>
  <si>
    <t>Snapshot File</t>
  </si>
  <si>
    <t>[SetRow;Autofit]</t>
  </si>
  <si>
    <t>MultiPass Settings</t>
  </si>
  <si>
    <t>[FILEPROCESSING_MULTIPASSFILTERTABLES]</t>
  </si>
  <si>
    <t>[FILEPROCESSING_EXPORTFILETYPE]</t>
  </si>
  <si>
    <t>[FILEPROCESSING_OUTPUTFILECONTEXT]</t>
  </si>
  <si>
    <t xml:space="preserve">Save or Email Generated Files </t>
  </si>
  <si>
    <t>Create a Single Output File</t>
  </si>
  <si>
    <t>From</t>
  </si>
  <si>
    <t>G74:G79</t>
  </si>
  <si>
    <t>Email Files</t>
  </si>
  <si>
    <t>.txt (space delimited)</t>
  </si>
  <si>
    <t>Current User</t>
  </si>
  <si>
    <t>Axiom Repository</t>
  </si>
  <si>
    <t>OthPtRev</t>
  </si>
  <si>
    <t>InitiativeID</t>
  </si>
  <si>
    <t>Instructions</t>
  </si>
  <si>
    <t>[SHOWVIEWHEADERS]</t>
  </si>
  <si>
    <t>Control_FileProcessing</t>
  </si>
  <si>
    <t>[AllowMultiSelect]</t>
  </si>
  <si>
    <t>[Variable]</t>
  </si>
  <si>
    <t>Dept Specific Forecast Adjustments</t>
  </si>
  <si>
    <t>Show row and column headings</t>
  </si>
  <si>
    <t>[RefreshTimestamp]</t>
  </si>
  <si>
    <t>Purpose</t>
  </si>
  <si>
    <t>CALENDAR</t>
  </si>
  <si>
    <t>[ZEROONSAVEENABLED]</t>
  </si>
  <si>
    <t>Save Type 4 Enabled</t>
  </si>
  <si>
    <t>Workbook Protection On/Off during snapshot</t>
  </si>
  <si>
    <t>Filter</t>
  </si>
  <si>
    <t>[SheetFilter3]</t>
  </si>
  <si>
    <t>Query Details</t>
  </si>
  <si>
    <t>[DATASORT]</t>
  </si>
  <si>
    <t xml:space="preserve">    Limit query data based on another table (advanced)</t>
  </si>
  <si>
    <t>Calculation Methods</t>
  </si>
  <si>
    <t>Assign from Sheet - plan files only</t>
  </si>
  <si>
    <t>Horizontal Configuration</t>
  </si>
  <si>
    <t>[FILEPROCESSING_VERSION]</t>
  </si>
  <si>
    <t>[FILEPROCESSING_SOURCECOLUMNS]</t>
  </si>
  <si>
    <t>[FILEPROCESSING_OPENOUTPUTFILE]</t>
  </si>
  <si>
    <t>Batch Mode Source Sheet</t>
  </si>
  <si>
    <t>[FILEPROCESSING_VARIABLEVALUES]</t>
  </si>
  <si>
    <t>J74:J81</t>
  </si>
  <si>
    <t>Batch</t>
  </si>
  <si>
    <t>Sequential Month</t>
  </si>
  <si>
    <t>Other Statistics</t>
  </si>
  <si>
    <t>[Stop]</t>
  </si>
  <si>
    <t>Current</t>
  </si>
  <si>
    <t>Provider Tables</t>
  </si>
  <si>
    <t>Refresh the Report Data - Select "Refresh Data" on the KH Main ribbon</t>
  </si>
  <si>
    <t>[Copy]</t>
  </si>
  <si>
    <t>[SelectedValue]</t>
  </si>
  <si>
    <t>Filters</t>
  </si>
  <si>
    <t>Last refresh time</t>
  </si>
  <si>
    <t>Process alerts on save data</t>
  </si>
  <si>
    <t xml:space="preserve">       Conversion Target (e.g. USD)</t>
  </si>
  <si>
    <t xml:space="preserve">   Rebuild Data Ranges</t>
  </si>
  <si>
    <t>Processing Enabled</t>
  </si>
  <si>
    <t>[FILEPROCESSING_SHEETSTOPROCESS]</t>
  </si>
  <si>
    <t>[FILEPROCESSING_OUTPUTFILEPARTITIONING]</t>
  </si>
  <si>
    <t>[FILEPROCESSING_EMAILBODYTEXT]</t>
  </si>
  <si>
    <t>Variable Values</t>
  </si>
  <si>
    <t>F74:F76</t>
  </si>
  <si>
    <t>H74:H75</t>
  </si>
  <si>
    <t>Export to Delimited Text File</t>
  </si>
  <si>
    <t>.txt (tab delimited)</t>
  </si>
  <si>
    <t>Current Month 1</t>
  </si>
  <si>
    <t>Total</t>
  </si>
  <si>
    <t>Forecast</t>
  </si>
  <si>
    <t>Other Expenses</t>
  </si>
  <si>
    <t>Paid Hours</t>
  </si>
  <si>
    <t>AQ3: Expenses</t>
  </si>
  <si>
    <t>Columns</t>
  </si>
  <si>
    <t>P1</t>
  </si>
  <si>
    <t>P5</t>
  </si>
  <si>
    <t>P12</t>
  </si>
  <si>
    <t>Actual Detail</t>
  </si>
  <si>
    <t>Close read-only files without prompting to save</t>
  </si>
  <si>
    <t>Initial Dynamic Row Views (view on open)</t>
  </si>
  <si>
    <t>Default</t>
  </si>
  <si>
    <t>False</t>
  </si>
  <si>
    <t>[EnableMessageStream]</t>
  </si>
  <si>
    <t>[ENABLEDRILLING]</t>
  </si>
  <si>
    <t>Show Gridlines</t>
  </si>
  <si>
    <t>[REFRESHONPROCESSTEMPLATE]</t>
  </si>
  <si>
    <t>Refresh during template processing</t>
  </si>
  <si>
    <t>Description</t>
  </si>
  <si>
    <t>Quick Filter</t>
  </si>
  <si>
    <t>(advanced) ZeroTag Value</t>
  </si>
  <si>
    <t>[SAVETYPE3FOLDERPATH]</t>
  </si>
  <si>
    <t>Downgrade to read-only on open</t>
  </si>
  <si>
    <t>[SHEETHIDE]</t>
  </si>
  <si>
    <t>[SHEETPROTECTINSNAPSHOT]</t>
  </si>
  <si>
    <t>Current Dynamic View</t>
  </si>
  <si>
    <t>[AQPARSEALLSUBRANGES]</t>
  </si>
  <si>
    <t>Sheet Filter Type</t>
  </si>
  <si>
    <t xml:space="preserve">    Data Filter</t>
  </si>
  <si>
    <t>[INSERTIONMETHODOLOGY]</t>
  </si>
  <si>
    <t>[Drillable]</t>
  </si>
  <si>
    <t>[DATACONTROLCOLUMN]</t>
  </si>
  <si>
    <t>[ASSIGNCMS]</t>
  </si>
  <si>
    <t>[AssignCMsExcelAQKeyColumn]</t>
  </si>
  <si>
    <t>Refresh after save data</t>
  </si>
  <si>
    <t>[ZERO]</t>
  </si>
  <si>
    <t>5:5</t>
  </si>
  <si>
    <t>Current Period</t>
  </si>
  <si>
    <t>[FILEPROCESSING_ENABLED]</t>
  </si>
  <si>
    <t>[FILEPROCESSING_EMAILBCCLIST]</t>
  </si>
  <si>
    <t>KeyOP</t>
  </si>
  <si>
    <t>Key Statistics</t>
  </si>
  <si>
    <t>Dept</t>
  </si>
  <si>
    <t>Total Paid FTEs</t>
  </si>
  <si>
    <t>[AQ4]</t>
  </si>
  <si>
    <t>P9</t>
  </si>
  <si>
    <t>Financial Tables</t>
  </si>
  <si>
    <t>Budget 12</t>
  </si>
  <si>
    <t>Flex Tables</t>
  </si>
  <si>
    <t>Flex</t>
  </si>
  <si>
    <t>[ApplyColumnViewsOnOpen]</t>
  </si>
  <si>
    <t>[SHEETROWVIEWS]</t>
  </si>
  <si>
    <t>Hidden</t>
  </si>
  <si>
    <t>ACCT.BudgetType IN ('Benefits', 'Deduction', 'OtherExp', 'Salaries', 'Supplies')</t>
  </si>
  <si>
    <t xml:space="preserve">    Process Definition ID</t>
  </si>
  <si>
    <t>[HideControlSheetOnOpen]</t>
  </si>
  <si>
    <t>[DEFAULTZOOM]</t>
  </si>
  <si>
    <t>Control_Sheet version</t>
  </si>
  <si>
    <t>[SHEETPROTECT]</t>
  </si>
  <si>
    <t>[SHEETVIEW]</t>
  </si>
  <si>
    <t>[AXIOMDOUBLECLICK]</t>
  </si>
  <si>
    <t>Axiom Double-Click</t>
  </si>
  <si>
    <t xml:space="preserve">    Sort results by these columns (e.g. C asc;D desc)</t>
  </si>
  <si>
    <t xml:space="preserve">    Suppress records with zero values</t>
  </si>
  <si>
    <t>[REFRESHONOPEN]</t>
  </si>
  <si>
    <t>[REFRESHBEFOREMULTIPASS]</t>
  </si>
  <si>
    <t>Report Variables</t>
  </si>
  <si>
    <t>Multipass Columns and Current Value Defaults</t>
  </si>
  <si>
    <t>[FILEPROCESSING_SINGLEPASSVALUES]</t>
  </si>
  <si>
    <t>.xlsx</t>
  </si>
  <si>
    <t>Save Files</t>
  </si>
  <si>
    <t>[SAVEDATABATCH_BATCHSIZE]</t>
  </si>
  <si>
    <t>Distribution List</t>
  </si>
  <si>
    <t>Outpatient Statistics</t>
  </si>
  <si>
    <t>Type</t>
  </si>
  <si>
    <t>OPRev</t>
  </si>
  <si>
    <t>Other Operating Revenue</t>
  </si>
  <si>
    <t>Supplies</t>
  </si>
  <si>
    <t>Excess Revenues Over Expenses from Operations</t>
  </si>
  <si>
    <t>BudFPOutputRep</t>
  </si>
  <si>
    <t>Budget 27</t>
  </si>
  <si>
    <t>RU Tables</t>
  </si>
  <si>
    <t>[MasterSheets]</t>
  </si>
  <si>
    <t>[ShowRowAndColumnHeadings]</t>
  </si>
  <si>
    <t>DataLookups to run</t>
  </si>
  <si>
    <t>Deduction</t>
  </si>
  <si>
    <t>Control Sheet Version Information</t>
  </si>
  <si>
    <t>Date updated</t>
  </si>
  <si>
    <t>Off</t>
  </si>
  <si>
    <t>[ZEROTAGVALUE]</t>
  </si>
  <si>
    <t>Associated Task Pane</t>
  </si>
  <si>
    <t>Sheet Options</t>
  </si>
  <si>
    <t>Visible</t>
  </si>
  <si>
    <t>Sheet Protection On/Off during snapshot</t>
  </si>
  <si>
    <t>[SheetFilter2]</t>
  </si>
  <si>
    <t>[NAME]</t>
  </si>
  <si>
    <t xml:space="preserve">    Sort by database columns (e.g. Table.field asc;Table.field desc)</t>
  </si>
  <si>
    <t xml:space="preserve">    Change orientation to horizontal</t>
  </si>
  <si>
    <t>A</t>
  </si>
  <si>
    <t>Sheet Name</t>
  </si>
  <si>
    <t>Key column in sheet</t>
  </si>
  <si>
    <t>Refresh on file open</t>
  </si>
  <si>
    <t>Refresh once before multipass processing (advanced)</t>
  </si>
  <si>
    <t>Running Multi Pass?</t>
  </si>
  <si>
    <t>Source Columns</t>
  </si>
  <si>
    <t>[FILEPROCESSING_SCREENUPDATING]</t>
  </si>
  <si>
    <t>Formula Conversion</t>
  </si>
  <si>
    <t>[SAVEDATABATCH_SOURCESHEET]</t>
  </si>
  <si>
    <t>Batch Mode Batch Size</t>
  </si>
  <si>
    <t>[FILEPROCESSING_EMAILDISTRIBUTIONLIST]</t>
  </si>
  <si>
    <t>E74:E77</t>
  </si>
  <si>
    <t>Budget</t>
  </si>
  <si>
    <t>[Current_Value]</t>
  </si>
  <si>
    <t>Inpatient Revenue</t>
  </si>
  <si>
    <t>Expense</t>
  </si>
  <si>
    <t>Financial</t>
  </si>
  <si>
    <t>Code</t>
  </si>
  <si>
    <t>Worked Days</t>
  </si>
  <si>
    <t>Initial Dynamic Column Views (view on open)</t>
  </si>
  <si>
    <t>Variables</t>
  </si>
  <si>
    <t>[VariableType]</t>
  </si>
  <si>
    <t>[DependsOn]</t>
  </si>
  <si>
    <t>File Processing Current Value</t>
  </si>
  <si>
    <t>[DISABLEDOCIDDURINGZERO]</t>
  </si>
  <si>
    <t>[ProcessAlertsOnSaveDocument]</t>
  </si>
  <si>
    <t>[RefreshDataFormulasOnOpen]</t>
  </si>
  <si>
    <t>[TABLES]</t>
  </si>
  <si>
    <t>[POSTQUERYGROUPBY]</t>
  </si>
  <si>
    <t>AND / OR</t>
  </si>
  <si>
    <t>[AssignCMsExcelKeyColumn]</t>
  </si>
  <si>
    <t>[REFRESHONPROCESSDOCUMENT]</t>
  </si>
  <si>
    <t xml:space="preserve">   Zero data before update</t>
  </si>
  <si>
    <t>Data Conversion</t>
  </si>
  <si>
    <t>[CurConvTarget]</t>
  </si>
  <si>
    <t>File Processing Table</t>
  </si>
  <si>
    <t>Snapshot File Type</t>
  </si>
  <si>
    <t>Export to Text File Settings</t>
  </si>
  <si>
    <t>File Settings</t>
  </si>
  <si>
    <t>[FILEPROCESSING_VARIABLENAMES]</t>
  </si>
  <si>
    <t>Total Expenses</t>
  </si>
  <si>
    <t>P2</t>
  </si>
  <si>
    <t>P6</t>
  </si>
  <si>
    <t>Manager:</t>
  </si>
  <si>
    <t>LY</t>
  </si>
  <si>
    <t>Last Year</t>
  </si>
  <si>
    <t>Views</t>
  </si>
  <si>
    <t>[ColumnName]</t>
  </si>
  <si>
    <t>[AdditionalColumns]</t>
  </si>
  <si>
    <t>[DataLookupsToRun]</t>
  </si>
  <si>
    <t>Total Revenues</t>
  </si>
  <si>
    <t>[DataContextDescription]</t>
  </si>
  <si>
    <t>[IsDataContextCheckedOut]</t>
  </si>
  <si>
    <t>[ApplyViewOnOpen]</t>
  </si>
  <si>
    <t>[ZeroDataFormulasOnSave]</t>
  </si>
  <si>
    <t>Refresh Control Sheet between every AQ</t>
  </si>
  <si>
    <t>Convert Axiom Query results to zero on save</t>
  </si>
  <si>
    <t>[ACTIVATE]</t>
  </si>
  <si>
    <t xml:space="preserve">    Apply grouping to data ranges</t>
  </si>
  <si>
    <t>[INSHEETCMROWS]</t>
  </si>
  <si>
    <t>4:4</t>
  </si>
  <si>
    <t>Assign from data field (table.field) - plan files only</t>
  </si>
  <si>
    <t>Key column name (e.g. Acct)</t>
  </si>
  <si>
    <t>[FIELDDEFINITIONCOLUMNS]</t>
  </si>
  <si>
    <t>[INSHEETCMCOLUMNS]</t>
  </si>
  <si>
    <t>Refresh behavior</t>
  </si>
  <si>
    <t>[CurConvScenario]</t>
  </si>
  <si>
    <t>File Processing Column</t>
  </si>
  <si>
    <t>Sum data by these columns</t>
  </si>
  <si>
    <t>Snapshot Settings</t>
  </si>
  <si>
    <t>Output to Local File System or Axiom Repository</t>
  </si>
  <si>
    <t>Output Folder</t>
  </si>
  <si>
    <t>[FILEPROCESSING_OUTPUTFILEDISSEMINATION]</t>
  </si>
  <si>
    <t>Multipass File Generation Mode</t>
  </si>
  <si>
    <t>K74:K75</t>
  </si>
  <si>
    <t>Save Data After Each Pass</t>
  </si>
  <si>
    <t>.xlsm</t>
  </si>
  <si>
    <t>.txt (colon delimited)</t>
  </si>
  <si>
    <t>Dynamic Title</t>
  </si>
  <si>
    <t>Current Month 2</t>
  </si>
  <si>
    <t>Outpatient Revenue</t>
  </si>
  <si>
    <t>AQ1: Stats</t>
  </si>
  <si>
    <t>[AQ3]</t>
  </si>
  <si>
    <t>[HideColumn]</t>
  </si>
  <si>
    <t>Select the Department to process, Yes or No to recompute Variable accounts and Yes or No to Post to the Database</t>
  </si>
  <si>
    <t>[ActivateSheetOnOpen]</t>
  </si>
  <si>
    <t>[DisableQuickFilter]</t>
  </si>
  <si>
    <t>Master Sheets</t>
  </si>
  <si>
    <t>[Name]</t>
  </si>
  <si>
    <t>[ColumnFilter]</t>
  </si>
  <si>
    <t>[ZEROTAGCOLUMNNAME]</t>
  </si>
  <si>
    <t>Process alerts on save document</t>
  </si>
  <si>
    <t>Insert</t>
  </si>
  <si>
    <t xml:space="preserve">    Drillable</t>
  </si>
  <si>
    <t>Internal Data Control Column</t>
  </si>
  <si>
    <t>[AssignCMsExcelSheetName]</t>
  </si>
  <si>
    <t>CM Assignment column in sheet</t>
  </si>
  <si>
    <t xml:space="preserve">        Insert Control Row with [AQ1]</t>
  </si>
  <si>
    <t>[REFRESHAFTERSAVEDATA]</t>
  </si>
  <si>
    <t>Text for Current Period</t>
  </si>
  <si>
    <t>Primary Table</t>
  </si>
  <si>
    <t>[FILEPROCESSING_CONVERTFORMULAS]</t>
  </si>
  <si>
    <t>Convert All Formulas</t>
  </si>
  <si>
    <t>.csv</t>
  </si>
  <si>
    <t>Include Headers</t>
  </si>
  <si>
    <t>Output Sheet Name</t>
  </si>
  <si>
    <t>Subject Line</t>
  </si>
  <si>
    <t>Body Text</t>
  </si>
  <si>
    <t>Variable Names</t>
  </si>
  <si>
    <t>I74:I76</t>
  </si>
  <si>
    <t>.pdf</t>
  </si>
  <si>
    <t>To make Dept/Acct specific adjustments to the monthly forecast</t>
  </si>
  <si>
    <t>Calendar Days</t>
  </si>
  <si>
    <t>Recompute Variable Accts?</t>
  </si>
  <si>
    <t>Revenues</t>
  </si>
  <si>
    <t>OtherRev</t>
  </si>
  <si>
    <t>Expenses</t>
  </si>
  <si>
    <t>CY</t>
  </si>
  <si>
    <t>BudFPOutputLoc</t>
  </si>
  <si>
    <t>Current Year Forecast</t>
  </si>
  <si>
    <t>[CloseROWorkbookWithoutSavePrompt]</t>
  </si>
  <si>
    <t>Show View Headers in Menu</t>
  </si>
  <si>
    <t>CYF Table&gt;&gt;&gt;</t>
  </si>
  <si>
    <t>[PlaceHolderText]</t>
  </si>
  <si>
    <t>[ListChoices]</t>
  </si>
  <si>
    <t>True</t>
  </si>
  <si>
    <t>No</t>
  </si>
  <si>
    <t>[ClearDataLookupsOnSave]</t>
  </si>
  <si>
    <t>Hide Control Sheet on open</t>
  </si>
  <si>
    <t>% Adjustment</t>
  </si>
  <si>
    <t>Adjustment</t>
  </si>
  <si>
    <t>3:6</t>
  </si>
  <si>
    <t>7:11</t>
  </si>
  <si>
    <t>12:16</t>
  </si>
  <si>
    <t>17:22</t>
  </si>
  <si>
    <t>Volume Related Adjustment</t>
  </si>
  <si>
    <t>23:27</t>
  </si>
  <si>
    <t>28:33</t>
  </si>
  <si>
    <t>Tot</t>
  </si>
  <si>
    <t>34:38</t>
  </si>
  <si>
    <t>39:44</t>
  </si>
  <si>
    <t>Average Hourly Rate</t>
  </si>
  <si>
    <t>[ProcessCrossSheetBatches]</t>
  </si>
  <si>
    <t>Process cross sheet AQ Batches</t>
  </si>
  <si>
    <t>[EnableParallelSave]</t>
  </si>
  <si>
    <t>Enable parallel save data</t>
  </si>
  <si>
    <t>[AdditionalTableDependencies]</t>
  </si>
  <si>
    <t>Additional table dependencies</t>
  </si>
  <si>
    <t>CYFDimGrp</t>
  </si>
  <si>
    <t>OthStat</t>
  </si>
  <si>
    <t>Adjust each category or account accordingly via the input cells by category on the DeptSpecificFcstAdj tab</t>
  </si>
  <si>
    <t>Special Note: Any adjustments made with this utility will be returned the next time you run the Monthly Forecast Utility</t>
  </si>
  <si>
    <t>ACCT.BudgetType='PaidHours'</t>
  </si>
  <si>
    <t>Other Expense per Unit of Service</t>
  </si>
  <si>
    <t>Supply Expense per Unit of Service</t>
  </si>
  <si>
    <t>Total Expense per Unit of Service</t>
  </si>
  <si>
    <t>Benefit Expense per Unit of Service</t>
  </si>
  <si>
    <t>Salary Expense per Unit of Service</t>
  </si>
  <si>
    <t>Save</t>
  </si>
  <si>
    <t>Pct Adjust</t>
  </si>
  <si>
    <t>Amt Adjust</t>
  </si>
  <si>
    <t>NYBKHA</t>
  </si>
  <si>
    <t>Base</t>
  </si>
  <si>
    <t>F70:N77</t>
  </si>
  <si>
    <t>Acct Description</t>
  </si>
  <si>
    <t>Dept.Dept</t>
  </si>
  <si>
    <t>Acct.Acct</t>
  </si>
  <si>
    <t>Acct.Description</t>
  </si>
  <si>
    <t>DEPT.CYFDimGrp</t>
  </si>
  <si>
    <t>ACCT.BudgetType</t>
  </si>
  <si>
    <t>ACCT.BudgetType;ACCT.Acct;DEPT.Dept</t>
  </si>
  <si>
    <t>Select Dept:</t>
  </si>
  <si>
    <t>Dept.Dept&lt;&gt;0</t>
  </si>
  <si>
    <t>DEPT.DEPT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</si>
</sst>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;;;"/>
    <numFmt numFmtId="165" formatCode="0_);\(0\)"/>
    <numFmt numFmtId="166" formatCode="0.0%_);\(0.0%\)"/>
    <numFmt numFmtId="167" formatCode="#,##0.0_);\(#,##0.0\)"/>
    <numFmt numFmtId="168" formatCode="0.00%_);\(0.00%\)"/>
    <numFmt numFmtId="169" formatCode="#,##0.000_);\(#,##0.000\)"/>
    <numFmt numFmtId="170" formatCode="#,##0.0000_);\(#,##0.0000\)"/>
    <numFmt numFmtId="171" formatCode="mm/dd/yy"/>
    <numFmt numFmtId="172" formatCode="mmm\-yyyy"/>
    <numFmt numFmtId="173" formatCode="_(* #,##0_);_(* \(#,##0\);_(* &quot;-&quot;??_);_(@_)"/>
  </numFmts>
  <fonts count="90">
    <font>
      <sz val="11"/>
      <color theme="1"/>
      <name val="Segoe UI"/>
      <family val="2"/>
      <scheme val="minor"/>
    </font>
    <font>
      <sz val="10"/>
      <color rgb="FF232D32"/>
      <name val="Segoe UI"/>
      <family val="2"/>
    </font>
    <font>
      <sz val="10"/>
      <color rgb="FF232D32"/>
      <name val="Segoe UI"/>
      <family val="2"/>
      <scheme val="minor"/>
    </font>
    <font>
      <b/>
      <sz val="10"/>
      <color rgb="FF232D32"/>
      <name val="Segoe UI"/>
      <family val="2"/>
    </font>
    <font>
      <b/>
      <sz val="10"/>
      <color rgb="FF455A64"/>
      <name val="Segoe UI"/>
      <family val="2"/>
    </font>
    <font>
      <b/>
      <sz val="10"/>
      <color rgb="FF455A64"/>
      <name val="Segoe UI"/>
      <family val="2"/>
      <scheme val="minor"/>
    </font>
    <font>
      <sz val="10"/>
      <color rgb="FF455A64"/>
      <name val="Segoe UI"/>
      <family val="2"/>
    </font>
    <font>
      <sz val="10"/>
      <color rgb="FF455A64"/>
      <name val="Segoe UI"/>
      <family val="2"/>
      <scheme val="minor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sz val="10"/>
      <color theme="8" tint="-0.49992370372631001"/>
      <name val="Segoe UI"/>
      <family val="2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b/>
      <sz val="11"/>
      <color theme="3"/>
      <name val="Segoe UI"/>
      <family val="2"/>
      <scheme val="minor"/>
    </font>
    <font>
      <b/>
      <sz val="10"/>
      <name val="Segoe UI"/>
      <family val="2"/>
      <scheme val="minor"/>
    </font>
    <font>
      <b/>
      <sz val="26"/>
      <color theme="3"/>
      <name val="Century Gothic"/>
      <family val="2"/>
      <scheme val="major"/>
    </font>
    <font>
      <sz val="11"/>
      <color rgb="FF232D32"/>
      <name val="Segoe UI"/>
      <family val="2"/>
    </font>
    <font>
      <sz val="11"/>
      <color rgb="FF232D32"/>
      <name val="Segoe UI"/>
      <family val="2"/>
      <scheme val="minor"/>
    </font>
    <font>
      <sz val="10"/>
      <name val="Segoe UI"/>
      <family val="2"/>
      <scheme val="minor"/>
    </font>
    <font>
      <sz val="11"/>
      <color theme="3" tint="-0.49961851863155005"/>
      <name val="Segoe UI"/>
      <family val="2"/>
      <scheme val="minor"/>
    </font>
    <font>
      <b/>
      <sz val="11"/>
      <color theme="3" tint="-0.49961851863155005"/>
      <name val="Antique Olive Roman"/>
      <family val="2"/>
    </font>
    <font>
      <sz val="10"/>
      <color theme="1"/>
      <name val="Segoe UI"/>
      <family val="2"/>
      <scheme val="minor"/>
    </font>
    <font>
      <sz val="11"/>
      <color theme="3" tint="-0.49992370372631001"/>
      <name val="Segoe UI"/>
      <family val="2"/>
      <scheme val="minor"/>
    </font>
    <font>
      <sz val="11"/>
      <color theme="3" tint="-0.49964903714102604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theme="3" tint="-0.49961851863155005"/>
      <name val="Segoe UI"/>
      <family val="2"/>
      <scheme val="minor"/>
    </font>
    <font>
      <sz val="10"/>
      <color theme="1"/>
      <name val="Segoe UI"/>
      <family val="2"/>
    </font>
    <font>
      <b/>
      <sz val="11"/>
      <color theme="3" tint="-0.49964903714102604"/>
      <name val="Antique Olive Roman"/>
      <family val="2"/>
    </font>
    <font>
      <u/>
      <sz val="8"/>
      <color theme="3" tint="-0.49964903714102604"/>
      <name val="Segoe UI"/>
      <family val="2"/>
      <scheme val="minor"/>
    </font>
    <font>
      <b/>
      <sz val="11"/>
      <color theme="3" tint="-0.49992370372631001"/>
      <name val="Segoe UI"/>
      <family val="2"/>
      <scheme val="minor"/>
    </font>
    <font>
      <b/>
      <sz val="11"/>
      <color theme="3" tint="-0.49961851863155005"/>
      <name val="Segoe UI"/>
      <family val="2"/>
      <scheme val="minor"/>
    </font>
    <font>
      <sz val="10"/>
      <name val="Arial"/>
      <family val="2"/>
    </font>
    <font>
      <u/>
      <sz val="8"/>
      <color theme="3" tint="-0.49961851863155005"/>
      <name val="Segoe UI"/>
      <family val="2"/>
      <scheme val="minor"/>
    </font>
    <font>
      <b/>
      <sz val="8"/>
      <color theme="3" tint="-0.49961851863155005"/>
      <name val="Antique Olive Roman"/>
      <family val="2"/>
    </font>
    <font>
      <b/>
      <u/>
      <sz val="11"/>
      <color theme="3" tint="-0.49961851863155005"/>
      <name val="Segoe UI"/>
      <family val="2"/>
      <scheme val="minor"/>
    </font>
    <font>
      <sz val="8"/>
      <color theme="3" tint="-0.49961851863155005"/>
      <name val="Segoe UI"/>
      <family val="2"/>
      <scheme val="minor"/>
    </font>
    <font>
      <b/>
      <u/>
      <sz val="11"/>
      <color theme="3" tint="-0.49992370372631001"/>
      <name val="Segoe UI"/>
      <family val="2"/>
      <scheme val="minor"/>
    </font>
    <font>
      <sz val="11"/>
      <color theme="0" tint="-0.14990691854609822"/>
      <name val="Segoe UI"/>
      <family val="2"/>
      <scheme val="minor"/>
    </font>
    <font>
      <u/>
      <sz val="11"/>
      <color theme="3" tint="-0.49964903714102604"/>
      <name val="Segoe UI"/>
      <family val="2"/>
      <scheme val="minor"/>
    </font>
    <font>
      <i/>
      <sz val="11"/>
      <color theme="0" tint="-0.14990691854609822"/>
      <name val="Segoe UI"/>
      <family val="2"/>
      <scheme val="minor"/>
    </font>
    <font>
      <sz val="8"/>
      <name val="Arial"/>
      <family val="2"/>
    </font>
    <font>
      <b/>
      <sz val="10"/>
      <color rgb="FFFF0000"/>
      <name val="Segoe UI"/>
      <family val="2"/>
      <scheme val="minor"/>
    </font>
    <font>
      <sz val="10"/>
      <color theme="0" tint="-0.24991607409894101"/>
      <name val="Segoe U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b/>
      <sz val="11"/>
      <color theme="0"/>
      <name val="Segoe UI"/>
      <family val="2"/>
      <scheme val="minor"/>
    </font>
    <font>
      <sz val="8"/>
      <color theme="0"/>
      <name val="Segoe UI"/>
      <family val="2"/>
      <scheme val="minor"/>
    </font>
    <font>
      <u/>
      <sz val="10"/>
      <name val="Segoe UI"/>
      <family val="2"/>
      <scheme val="minor"/>
    </font>
    <font>
      <sz val="11"/>
      <color theme="0" tint="-0.14963225196081423"/>
      <name val="Segoe UI"/>
      <family val="2"/>
      <scheme val="minor"/>
    </font>
    <font>
      <b/>
      <sz val="10"/>
      <color theme="1"/>
      <name val="Segoe UI"/>
      <family val="2"/>
    </font>
    <font>
      <b/>
      <sz val="11"/>
      <color theme="3" tint="-0.49964903714102604"/>
      <name val="Segoe UI"/>
      <family val="2"/>
      <scheme val="minor"/>
    </font>
    <font>
      <b/>
      <u/>
      <sz val="11"/>
      <color theme="0" tint="-0.14963225196081423"/>
      <name val="Segoe UI"/>
      <family val="2"/>
      <scheme val="minor"/>
    </font>
    <font>
      <sz val="11"/>
      <name val="Segoe UI"/>
      <family val="2"/>
      <scheme val="minor"/>
    </font>
    <font>
      <b/>
      <sz val="11"/>
      <color theme="0" tint="-0.14963225196081423"/>
      <name val="Segoe UI"/>
      <family val="2"/>
      <scheme val="minor"/>
    </font>
    <font>
      <i/>
      <sz val="11"/>
      <color theme="3"/>
      <name val="Segoe UI"/>
      <family val="2"/>
      <scheme val="minor"/>
    </font>
    <font>
      <sz val="12"/>
      <color indexed="50"/>
      <name val="Arial"/>
      <family val="2"/>
    </font>
    <font>
      <sz val="11"/>
      <color theme="9" tint="-0.24961088900418105"/>
      <name val="Segoe UI"/>
      <family val="2"/>
      <scheme val="minor"/>
    </font>
    <font>
      <sz val="10"/>
      <color rgb="FF292929"/>
      <name val="Segoe UI"/>
      <family val="2"/>
    </font>
    <font>
      <b/>
      <u/>
      <sz val="10"/>
      <name val="Segoe UI"/>
      <family val="2"/>
      <scheme val="minor"/>
    </font>
    <font>
      <b/>
      <sz val="12"/>
      <color theme="1"/>
      <name val="Segoe UI"/>
      <family val="2"/>
    </font>
    <font>
      <b/>
      <sz val="10"/>
      <color indexed="17"/>
      <name val="Segoe UI"/>
      <family val="2"/>
      <scheme val="minor"/>
    </font>
    <font>
      <sz val="11"/>
      <color theme="3" tint="-0.49989318521683401"/>
      <name val="Segoe UI"/>
      <family val="2"/>
      <scheme val="minor"/>
    </font>
    <font>
      <sz val="11"/>
      <color rgb="FF00B050"/>
      <name val="Segoe UI"/>
      <family val="2"/>
    </font>
    <font>
      <b/>
      <sz val="8"/>
      <color theme="3" tint="-0.49961851863155005"/>
      <name val="Segoe UI"/>
      <family val="2"/>
      <scheme val="minor"/>
    </font>
    <font>
      <sz val="10"/>
      <name val="Verdana"/>
      <family val="2"/>
    </font>
    <font>
      <sz val="11"/>
      <color rgb="FF0000CC"/>
      <name val="Segoe UI"/>
      <family val="2"/>
    </font>
    <font>
      <b/>
      <sz val="14"/>
      <color theme="3" tint="-0.49992370372631001"/>
      <name val="Segoe UI"/>
      <family val="2"/>
      <scheme val="minor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Segoe UI"/>
      <family val="2"/>
      <scheme val="minor"/>
    </font>
    <font>
      <sz val="10"/>
      <color rgb="FF000000"/>
      <name val="Segoe UI"/>
      <family val="2"/>
    </font>
    <font>
      <sz val="10"/>
      <color theme="0"/>
      <name val="Segoe UI"/>
      <family val="2"/>
      <scheme val="minor"/>
    </font>
    <font>
      <sz val="10"/>
      <color theme="0"/>
      <name val="Segoe UI"/>
      <family val="2"/>
    </font>
    <font>
      <b/>
      <sz val="11"/>
      <color theme="1"/>
      <name val="Segoe UI"/>
      <family val="2"/>
      <scheme val="minor"/>
    </font>
    <font>
      <b/>
      <sz val="11"/>
      <color rgb="FF000000"/>
      <name val="Segoe UI"/>
      <family val="2"/>
    </font>
    <font>
      <b/>
      <sz val="10"/>
      <color rgb="FF222B35"/>
      <name val="Segoe UI"/>
      <family val="2"/>
    </font>
    <font>
      <b/>
      <sz val="11"/>
      <color rgb="FFFFFFFF"/>
      <name val="Segoe UI"/>
      <family val="2"/>
    </font>
  </fonts>
  <fills count="5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662770470290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2370372631001"/>
        <bgColor indexed="64"/>
      </patternFill>
    </fill>
    <fill>
      <patternFill patternType="solid">
        <fgColor theme="8" tint="-9.991760002441481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88555558946501"/>
      </left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3"/>
      </right>
      <top/>
      <bottom/>
      <diagonal/>
    </border>
    <border>
      <left style="thin">
        <color theme="0" tint="-0.49992370372631001"/>
      </left>
      <right/>
      <top/>
      <bottom style="medium">
        <color rgb="FF1F497D"/>
      </bottom>
      <diagonal/>
    </border>
    <border>
      <left style="thin">
        <color theme="0" tint="-0.49992370372631001"/>
      </left>
      <right/>
      <top/>
      <bottom/>
      <diagonal/>
    </border>
    <border>
      <left/>
      <right style="thin">
        <color theme="0" tint="-0.49992370372631001"/>
      </right>
      <top style="thin">
        <color theme="0" tint="-0.24988555558946501"/>
      </top>
      <bottom style="thin">
        <color theme="0" tint="-0.499923703726310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499923703726310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medium">
        <color rgb="FF1F497D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215">
    <xf numFmtId="0" fontId="0" fillId="2" borderId="0" applyNumberFormat="0" applyFont="0" applyFill="0" applyBorder="0" applyAlignment="0" applyProtection="0"/>
    <xf numFmtId="165" fontId="1" fillId="2" borderId="0">
      <alignment horizontal="left" vertical="center"/>
    </xf>
    <xf numFmtId="5" fontId="1" fillId="2" borderId="0">
      <alignment horizontal="right" vertical="center"/>
    </xf>
    <xf numFmtId="7" fontId="1" fillId="2" borderId="0">
      <alignment horizontal="right" vertical="center"/>
    </xf>
    <xf numFmtId="165" fontId="1" fillId="2" borderId="0">
      <alignment horizontal="right" vertical="center"/>
    </xf>
    <xf numFmtId="37" fontId="1" fillId="2" borderId="0">
      <alignment horizontal="right" vertical="center"/>
    </xf>
    <xf numFmtId="166" fontId="1" fillId="2" borderId="0">
      <alignment horizontal="right" vertical="center"/>
    </xf>
    <xf numFmtId="167" fontId="1" fillId="2" borderId="0">
      <alignment horizontal="right" vertical="center"/>
    </xf>
    <xf numFmtId="168" fontId="1" fillId="2" borderId="0">
      <alignment horizontal="right" vertical="center"/>
    </xf>
    <xf numFmtId="39" fontId="1" fillId="2" borderId="0">
      <alignment horizontal="right" vertical="center"/>
    </xf>
    <xf numFmtId="169" fontId="1" fillId="2" borderId="0">
      <alignment horizontal="right" vertical="center"/>
    </xf>
    <xf numFmtId="170" fontId="1" fillId="2" borderId="0">
      <alignment horizontal="right" vertical="center"/>
    </xf>
    <xf numFmtId="165" fontId="1" fillId="2" borderId="0">
      <alignment horizontal="left" vertical="center"/>
    </xf>
    <xf numFmtId="165" fontId="1" fillId="2" borderId="0">
      <alignment horizontal="left" vertical="center" indent="1"/>
    </xf>
    <xf numFmtId="171" fontId="1" fillId="2" borderId="0">
      <alignment horizontal="right" vertical="center"/>
    </xf>
    <xf numFmtId="172" fontId="1" fillId="2" borderId="0">
      <alignment horizontal="right" vertical="center"/>
    </xf>
    <xf numFmtId="5" fontId="1" fillId="3" borderId="1">
      <alignment horizontal="right" vertical="center"/>
    </xf>
    <xf numFmtId="7" fontId="1" fillId="3" borderId="1">
      <alignment horizontal="right" vertical="center"/>
    </xf>
    <xf numFmtId="165" fontId="1" fillId="3" borderId="1">
      <alignment horizontal="right" vertical="center"/>
    </xf>
    <xf numFmtId="37" fontId="1" fillId="3" borderId="1">
      <alignment horizontal="right" vertical="center"/>
    </xf>
    <xf numFmtId="166" fontId="1" fillId="3" borderId="1">
      <alignment horizontal="right" vertical="center"/>
    </xf>
    <xf numFmtId="167" fontId="1" fillId="3" borderId="1">
      <alignment horizontal="right" vertical="center"/>
    </xf>
    <xf numFmtId="168" fontId="1" fillId="3" borderId="1">
      <alignment horizontal="right" vertical="center"/>
    </xf>
    <xf numFmtId="39" fontId="1" fillId="3" borderId="1">
      <alignment horizontal="right" vertical="center"/>
    </xf>
    <xf numFmtId="169" fontId="1" fillId="3" borderId="1">
      <alignment horizontal="right" vertical="center"/>
    </xf>
    <xf numFmtId="170" fontId="2" fillId="3" borderId="1">
      <alignment horizontal="right" vertical="center"/>
    </xf>
    <xf numFmtId="165" fontId="1" fillId="3" borderId="1">
      <alignment horizontal="left" vertical="center"/>
    </xf>
    <xf numFmtId="165" fontId="3" fillId="2" borderId="0">
      <alignment vertical="center"/>
    </xf>
    <xf numFmtId="165" fontId="3" fillId="2" borderId="0">
      <alignment horizontal="right" vertical="center" indent="1"/>
    </xf>
    <xf numFmtId="165" fontId="3" fillId="2" borderId="0">
      <alignment horizontal="center" vertical="center"/>
    </xf>
    <xf numFmtId="5" fontId="1" fillId="2" borderId="0">
      <alignment vertical="center"/>
    </xf>
    <xf numFmtId="7" fontId="1" fillId="2" borderId="0">
      <alignment vertical="center"/>
    </xf>
    <xf numFmtId="165" fontId="1" fillId="2" borderId="0">
      <alignment vertical="center"/>
    </xf>
    <xf numFmtId="37" fontId="1" fillId="2" borderId="0">
      <alignment vertical="center"/>
    </xf>
    <xf numFmtId="166" fontId="1" fillId="2" borderId="0">
      <alignment vertical="center"/>
    </xf>
    <xf numFmtId="167" fontId="1" fillId="2" borderId="0">
      <alignment vertical="center"/>
    </xf>
    <xf numFmtId="168" fontId="1" fillId="2" borderId="0">
      <alignment vertical="center"/>
    </xf>
    <xf numFmtId="39" fontId="1" fillId="2" borderId="0">
      <alignment vertical="center"/>
    </xf>
    <xf numFmtId="169" fontId="1" fillId="2" borderId="0">
      <alignment vertical="center"/>
    </xf>
    <xf numFmtId="170" fontId="2" fillId="2" borderId="0">
      <alignment vertical="center"/>
    </xf>
    <xf numFmtId="165" fontId="1" fillId="2" borderId="0">
      <alignment horizontal="left" vertical="center"/>
    </xf>
    <xf numFmtId="165" fontId="1" fillId="2" borderId="0">
      <alignment horizontal="left" vertical="center" indent="1"/>
    </xf>
    <xf numFmtId="165" fontId="1" fillId="2" borderId="0">
      <alignment horizontal="right" vertical="center" indent="1"/>
    </xf>
    <xf numFmtId="171" fontId="1" fillId="2" borderId="0">
      <alignment vertical="center"/>
    </xf>
    <xf numFmtId="172" fontId="1" fillId="2" borderId="0">
      <alignment vertical="center"/>
    </xf>
    <xf numFmtId="5" fontId="4" fillId="3" borderId="1">
      <alignment vertical="center"/>
    </xf>
    <xf numFmtId="7" fontId="4" fillId="3" borderId="1">
      <alignment vertical="center"/>
    </xf>
    <xf numFmtId="165" fontId="4" fillId="3" borderId="1">
      <alignment vertical="center"/>
    </xf>
    <xf numFmtId="37" fontId="4" fillId="3" borderId="1">
      <alignment vertical="center"/>
    </xf>
    <xf numFmtId="166" fontId="4" fillId="3" borderId="1">
      <alignment vertical="center"/>
    </xf>
    <xf numFmtId="167" fontId="4" fillId="3" borderId="1">
      <alignment vertical="center"/>
    </xf>
    <xf numFmtId="168" fontId="4" fillId="3" borderId="1">
      <alignment vertical="center"/>
    </xf>
    <xf numFmtId="39" fontId="4" fillId="3" borderId="1">
      <alignment vertical="center"/>
    </xf>
    <xf numFmtId="169" fontId="4" fillId="3" borderId="1">
      <alignment vertical="center"/>
    </xf>
    <xf numFmtId="170" fontId="5" fillId="3" borderId="1">
      <alignment vertical="center"/>
    </xf>
    <xf numFmtId="165" fontId="4" fillId="3" borderId="1">
      <alignment horizontal="left" vertical="center" indent="1" justifyLastLine="1"/>
    </xf>
    <xf numFmtId="5" fontId="6" fillId="4" borderId="0">
      <alignment horizontal="center" vertical="center"/>
    </xf>
    <xf numFmtId="7" fontId="6" fillId="4" borderId="0">
      <alignment horizontal="center" vertical="center"/>
    </xf>
    <xf numFmtId="165" fontId="6" fillId="4" borderId="0">
      <alignment horizontal="center" vertical="center"/>
    </xf>
    <xf numFmtId="37" fontId="6" fillId="4" borderId="0">
      <alignment horizontal="center" vertical="center"/>
    </xf>
    <xf numFmtId="166" fontId="6" fillId="4" borderId="0">
      <alignment horizontal="center" vertical="center"/>
    </xf>
    <xf numFmtId="167" fontId="6" fillId="4" borderId="0">
      <alignment horizontal="center" vertical="center"/>
    </xf>
    <xf numFmtId="168" fontId="6" fillId="4" borderId="0">
      <alignment horizontal="center" vertical="center"/>
    </xf>
    <xf numFmtId="39" fontId="6" fillId="4" borderId="0">
      <alignment horizontal="center" vertical="center"/>
    </xf>
    <xf numFmtId="169" fontId="6" fillId="4" borderId="0">
      <alignment horizontal="center" vertical="center"/>
    </xf>
    <xf numFmtId="170" fontId="7" fillId="4" borderId="0">
      <alignment horizontal="center" vertical="center"/>
    </xf>
    <xf numFmtId="165" fontId="6" fillId="4" borderId="0">
      <alignment horizontal="left" vertical="center"/>
    </xf>
    <xf numFmtId="165" fontId="8" fillId="4" borderId="0">
      <alignment horizontal="left" vertical="center"/>
    </xf>
    <xf numFmtId="165" fontId="4" fillId="4" borderId="0">
      <alignment horizontal="left" vertical="center"/>
    </xf>
    <xf numFmtId="165" fontId="9" fillId="4" borderId="0">
      <alignment horizontal="left" vertical="center"/>
    </xf>
    <xf numFmtId="171" fontId="6" fillId="4" borderId="0">
      <alignment horizontal="center" vertical="center"/>
    </xf>
    <xf numFmtId="172" fontId="6" fillId="4" borderId="0">
      <alignment horizontal="center" vertical="center"/>
    </xf>
    <xf numFmtId="165" fontId="10" fillId="5" borderId="2">
      <alignment horizontal="center" vertical="center" wrapText="1"/>
    </xf>
    <xf numFmtId="165" fontId="10" fillId="2" borderId="2">
      <alignment horizontal="center" vertical="center"/>
    </xf>
    <xf numFmtId="165" fontId="4" fillId="6" borderId="0">
      <alignment horizontal="left" vertical="center"/>
    </xf>
    <xf numFmtId="165" fontId="6" fillId="6" borderId="0">
      <alignment horizontal="left" vertical="center"/>
    </xf>
    <xf numFmtId="171" fontId="10" fillId="5" borderId="2">
      <alignment horizontal="center" vertical="center"/>
    </xf>
    <xf numFmtId="172" fontId="10" fillId="5" borderId="2">
      <alignment horizontal="center" vertical="center"/>
    </xf>
    <xf numFmtId="5" fontId="4" fillId="7" borderId="0">
      <alignment vertical="center"/>
    </xf>
    <xf numFmtId="7" fontId="4" fillId="7" borderId="0">
      <alignment vertical="center"/>
    </xf>
    <xf numFmtId="165" fontId="4" fillId="7" borderId="0">
      <alignment vertical="center"/>
    </xf>
    <xf numFmtId="37" fontId="4" fillId="7" borderId="0">
      <alignment vertical="center"/>
    </xf>
    <xf numFmtId="166" fontId="4" fillId="7" borderId="0">
      <alignment vertical="center"/>
    </xf>
    <xf numFmtId="167" fontId="4" fillId="7" borderId="0">
      <alignment vertical="center"/>
    </xf>
    <xf numFmtId="168" fontId="4" fillId="7" borderId="0">
      <alignment vertical="center"/>
    </xf>
    <xf numFmtId="39" fontId="4" fillId="7" borderId="0">
      <alignment vertical="center"/>
    </xf>
    <xf numFmtId="169" fontId="4" fillId="7" borderId="0">
      <alignment vertical="center"/>
    </xf>
    <xf numFmtId="170" fontId="5" fillId="7" borderId="0">
      <alignment vertical="center"/>
    </xf>
    <xf numFmtId="165" fontId="4" fillId="7" borderId="0">
      <alignment vertical="center"/>
    </xf>
    <xf numFmtId="165" fontId="6" fillId="2" borderId="2">
      <alignment vertical="center"/>
    </xf>
    <xf numFmtId="165" fontId="6" fillId="8" borderId="2">
      <alignment vertical="center"/>
    </xf>
    <xf numFmtId="165" fontId="8" fillId="2" borderId="0">
      <alignment vertical="center"/>
    </xf>
    <xf numFmtId="165" fontId="8" fillId="8" borderId="0">
      <alignment vertical="center"/>
    </xf>
    <xf numFmtId="165" fontId="11" fillId="2" borderId="0">
      <alignment vertical="center"/>
    </xf>
    <xf numFmtId="165" fontId="1" fillId="2" borderId="0">
      <alignment vertical="center"/>
    </xf>
    <xf numFmtId="5" fontId="1" fillId="2" borderId="0">
      <alignment vertical="center"/>
    </xf>
    <xf numFmtId="7" fontId="1" fillId="2" borderId="0">
      <alignment vertical="center"/>
    </xf>
    <xf numFmtId="165" fontId="1" fillId="2" borderId="0">
      <alignment vertical="center"/>
    </xf>
    <xf numFmtId="37" fontId="1" fillId="2" borderId="0">
      <alignment vertical="center"/>
    </xf>
    <xf numFmtId="166" fontId="1" fillId="2" borderId="0">
      <alignment vertical="center"/>
    </xf>
    <xf numFmtId="167" fontId="1" fillId="2" borderId="0">
      <alignment vertical="center"/>
    </xf>
    <xf numFmtId="168" fontId="1" fillId="2" borderId="0">
      <alignment vertical="center"/>
    </xf>
    <xf numFmtId="39" fontId="1" fillId="2" borderId="0">
      <alignment vertical="center"/>
    </xf>
    <xf numFmtId="169" fontId="1" fillId="2" borderId="0">
      <alignment vertical="center"/>
    </xf>
    <xf numFmtId="170" fontId="2" fillId="2" borderId="0">
      <alignment vertical="center"/>
    </xf>
    <xf numFmtId="165" fontId="1" fillId="2" borderId="0">
      <alignment vertical="center"/>
    </xf>
    <xf numFmtId="165" fontId="1" fillId="2" borderId="0">
      <alignment horizontal="left" vertical="center" indent="1"/>
    </xf>
    <xf numFmtId="171" fontId="1" fillId="2" borderId="0">
      <alignment vertical="center"/>
    </xf>
    <xf numFmtId="172" fontId="1" fillId="2" borderId="0">
      <alignment vertical="center"/>
    </xf>
    <xf numFmtId="5" fontId="6" fillId="2" borderId="1">
      <alignment vertical="center"/>
    </xf>
    <xf numFmtId="7" fontId="6" fillId="2" borderId="1">
      <alignment vertical="center"/>
    </xf>
    <xf numFmtId="165" fontId="6" fillId="2" borderId="1">
      <alignment vertical="center"/>
    </xf>
    <xf numFmtId="37" fontId="6" fillId="2" borderId="1">
      <alignment vertical="center"/>
    </xf>
    <xf numFmtId="166" fontId="6" fillId="2" borderId="1">
      <alignment vertical="center"/>
    </xf>
    <xf numFmtId="167" fontId="6" fillId="2" borderId="1">
      <alignment vertical="center"/>
    </xf>
    <xf numFmtId="168" fontId="6" fillId="2" borderId="1">
      <alignment vertical="center"/>
    </xf>
    <xf numFmtId="39" fontId="6" fillId="2" borderId="1">
      <alignment vertical="center"/>
    </xf>
    <xf numFmtId="169" fontId="6" fillId="2" borderId="1">
      <alignment vertical="center"/>
    </xf>
    <xf numFmtId="170" fontId="7" fillId="2" borderId="1">
      <alignment vertical="center"/>
    </xf>
    <xf numFmtId="165" fontId="6" fillId="2" borderId="1">
      <alignment vertical="center"/>
    </xf>
    <xf numFmtId="165" fontId="12" fillId="9" borderId="0">
      <alignment vertical="center"/>
    </xf>
    <xf numFmtId="165" fontId="13" fillId="3" borderId="0">
      <alignment vertical="center"/>
    </xf>
    <xf numFmtId="165" fontId="13" fillId="10" borderId="0">
      <alignment vertical="center"/>
    </xf>
    <xf numFmtId="165" fontId="14" fillId="11" borderId="0">
      <alignment vertical="center"/>
    </xf>
    <xf numFmtId="165" fontId="14" fillId="12" borderId="0">
      <alignment vertical="center"/>
    </xf>
    <xf numFmtId="165" fontId="14" fillId="13" borderId="0">
      <alignment vertical="center"/>
    </xf>
    <xf numFmtId="165" fontId="15" fillId="2" borderId="3">
      <alignment horizontal="center" vertical="center"/>
    </xf>
    <xf numFmtId="165" fontId="16" fillId="14" borderId="3">
      <alignment horizontal="center" vertical="center"/>
    </xf>
    <xf numFmtId="165" fontId="13" fillId="15" borderId="0">
      <alignment vertical="center"/>
    </xf>
    <xf numFmtId="165" fontId="13" fillId="16" borderId="0">
      <alignment vertical="center"/>
    </xf>
    <xf numFmtId="165" fontId="14" fillId="17" borderId="0">
      <alignment vertical="center"/>
    </xf>
    <xf numFmtId="165" fontId="14" fillId="18" borderId="0">
      <alignment vertical="center"/>
    </xf>
    <xf numFmtId="165" fontId="14" fillId="19" borderId="0">
      <alignment vertical="center"/>
    </xf>
    <xf numFmtId="165" fontId="17" fillId="14" borderId="0">
      <alignment vertical="center"/>
    </xf>
    <xf numFmtId="5" fontId="6" fillId="20" borderId="3">
      <alignment vertical="center"/>
      <protection locked="0"/>
    </xf>
    <xf numFmtId="7" fontId="6" fillId="20" borderId="3">
      <alignment vertical="center"/>
      <protection locked="0"/>
    </xf>
    <xf numFmtId="165" fontId="6" fillId="20" borderId="3">
      <alignment vertical="center"/>
      <protection locked="0"/>
    </xf>
    <xf numFmtId="37" fontId="6" fillId="20" borderId="3">
      <alignment vertical="center"/>
      <protection locked="0"/>
    </xf>
    <xf numFmtId="166" fontId="6" fillId="20" borderId="3">
      <alignment vertical="center"/>
      <protection locked="0"/>
    </xf>
    <xf numFmtId="167" fontId="6" fillId="20" borderId="3">
      <alignment vertical="center"/>
      <protection locked="0"/>
    </xf>
    <xf numFmtId="168" fontId="6" fillId="20" borderId="3">
      <alignment vertical="center"/>
      <protection locked="0"/>
    </xf>
    <xf numFmtId="39" fontId="6" fillId="20" borderId="3">
      <alignment vertical="center"/>
      <protection locked="0"/>
    </xf>
    <xf numFmtId="169" fontId="6" fillId="20" borderId="3">
      <alignment vertical="center"/>
      <protection locked="0"/>
    </xf>
    <xf numFmtId="170" fontId="7" fillId="20" borderId="3">
      <alignment vertical="center"/>
      <protection locked="0"/>
    </xf>
    <xf numFmtId="165" fontId="6" fillId="20" borderId="3">
      <alignment horizontal="center" vertical="center"/>
      <protection locked="0"/>
    </xf>
    <xf numFmtId="171" fontId="6" fillId="20" borderId="3">
      <alignment vertical="center"/>
      <protection locked="0"/>
    </xf>
    <xf numFmtId="172" fontId="6" fillId="20" borderId="3">
      <alignment vertical="center"/>
      <protection locked="0"/>
    </xf>
    <xf numFmtId="165" fontId="13" fillId="21" borderId="0">
      <alignment vertical="center"/>
    </xf>
    <xf numFmtId="165" fontId="13" fillId="22" borderId="0">
      <alignment vertical="center"/>
    </xf>
    <xf numFmtId="165" fontId="14" fillId="23" borderId="0">
      <alignment vertical="center"/>
    </xf>
    <xf numFmtId="165" fontId="14" fillId="24" borderId="0">
      <alignment vertical="center"/>
    </xf>
    <xf numFmtId="165" fontId="14" fillId="25" borderId="0">
      <alignment vertical="center"/>
    </xf>
    <xf numFmtId="165" fontId="18" fillId="2" borderId="0">
      <alignment horizontal="left" vertical="center"/>
    </xf>
    <xf numFmtId="165" fontId="19" fillId="2" borderId="0">
      <alignment vertical="center"/>
    </xf>
    <xf numFmtId="165" fontId="20" fillId="2" borderId="4">
      <alignment horizontal="center" vertical="center"/>
    </xf>
    <xf numFmtId="165" fontId="13" fillId="26" borderId="0">
      <alignment vertical="center"/>
    </xf>
    <xf numFmtId="165" fontId="13" fillId="27" borderId="0">
      <alignment vertical="center"/>
    </xf>
    <xf numFmtId="165" fontId="14" fillId="28" borderId="0">
      <alignment vertical="center"/>
    </xf>
    <xf numFmtId="165" fontId="14" fillId="29" borderId="0">
      <alignment vertical="center"/>
    </xf>
    <xf numFmtId="165" fontId="14" fillId="30" borderId="0">
      <alignment vertical="center"/>
    </xf>
    <xf numFmtId="38" fontId="21" fillId="31" borderId="5">
      <alignment vertical="center"/>
      <protection locked="0"/>
    </xf>
    <xf numFmtId="5" fontId="6" fillId="32" borderId="6">
      <alignment vertical="center"/>
      <protection locked="0"/>
    </xf>
    <xf numFmtId="7" fontId="6" fillId="32" borderId="6">
      <alignment vertical="center"/>
      <protection locked="0"/>
    </xf>
    <xf numFmtId="165" fontId="6" fillId="32" borderId="6">
      <alignment vertical="center"/>
      <protection locked="0"/>
    </xf>
    <xf numFmtId="37" fontId="6" fillId="32" borderId="6">
      <alignment vertical="center"/>
      <protection locked="0"/>
    </xf>
    <xf numFmtId="166" fontId="6" fillId="32" borderId="6">
      <alignment vertical="center"/>
      <protection locked="0"/>
    </xf>
    <xf numFmtId="167" fontId="6" fillId="32" borderId="6">
      <alignment vertical="center"/>
      <protection locked="0"/>
    </xf>
    <xf numFmtId="168" fontId="6" fillId="32" borderId="6">
      <alignment vertical="center"/>
      <protection locked="0"/>
    </xf>
    <xf numFmtId="39" fontId="6" fillId="32" borderId="6">
      <alignment vertical="center"/>
      <protection locked="0"/>
    </xf>
    <xf numFmtId="169" fontId="6" fillId="32" borderId="6">
      <alignment vertical="center"/>
      <protection locked="0"/>
    </xf>
    <xf numFmtId="170" fontId="7" fillId="32" borderId="6">
      <alignment vertical="center"/>
      <protection locked="0"/>
    </xf>
    <xf numFmtId="165" fontId="6" fillId="32" borderId="6">
      <alignment horizontal="left" vertical="top" wrapText="1" indent="1"/>
      <protection locked="0"/>
    </xf>
    <xf numFmtId="171" fontId="6" fillId="32" borderId="6">
      <alignment vertical="center"/>
      <protection locked="0"/>
    </xf>
    <xf numFmtId="172" fontId="6" fillId="32" borderId="6">
      <alignment vertical="center"/>
      <protection locked="0"/>
    </xf>
    <xf numFmtId="165" fontId="1" fillId="2" borderId="4">
      <alignment horizontal="left" vertical="center"/>
    </xf>
    <xf numFmtId="165" fontId="1" fillId="2" borderId="4">
      <alignment horizontal="left" vertical="center" indent="1" justifyLastLine="1"/>
    </xf>
    <xf numFmtId="165" fontId="3" fillId="2" borderId="4">
      <alignment horizontal="left" vertical="center"/>
    </xf>
    <xf numFmtId="165" fontId="1" fillId="2" borderId="4">
      <alignment horizontal="center" vertical="center" justifyLastLine="1"/>
    </xf>
    <xf numFmtId="0" fontId="81" fillId="0" borderId="0"/>
    <xf numFmtId="165" fontId="22" fillId="2" borderId="7">
      <alignment horizontal="left" vertical="center"/>
    </xf>
    <xf numFmtId="165" fontId="22" fillId="2" borderId="0">
      <alignment horizontal="left" vertical="center"/>
    </xf>
    <xf numFmtId="165" fontId="23" fillId="2" borderId="0">
      <alignment horizontal="center" vertical="center"/>
    </xf>
    <xf numFmtId="165" fontId="23" fillId="2" borderId="8">
      <alignment horizontal="center" vertical="center"/>
    </xf>
    <xf numFmtId="165" fontId="13" fillId="33" borderId="0">
      <alignment vertical="center"/>
    </xf>
    <xf numFmtId="165" fontId="13" fillId="34" borderId="0">
      <alignment vertical="center"/>
    </xf>
    <xf numFmtId="165" fontId="14" fillId="35" borderId="0">
      <alignment vertical="center"/>
    </xf>
    <xf numFmtId="165" fontId="14" fillId="36" borderId="0">
      <alignment vertical="center"/>
    </xf>
    <xf numFmtId="165" fontId="14" fillId="37" borderId="0">
      <alignment vertical="center"/>
    </xf>
    <xf numFmtId="0" fontId="24" fillId="38" borderId="9">
      <alignment vertical="center"/>
    </xf>
    <xf numFmtId="37" fontId="25" fillId="39" borderId="0">
      <alignment horizontal="left" vertical="center"/>
    </xf>
    <xf numFmtId="0" fontId="26" fillId="38" borderId="10">
      <alignment vertical="center"/>
    </xf>
    <xf numFmtId="165" fontId="13" fillId="40" borderId="0">
      <alignment vertical="center"/>
    </xf>
    <xf numFmtId="165" fontId="13" fillId="41" borderId="0">
      <alignment vertical="center"/>
    </xf>
    <xf numFmtId="165" fontId="14" fillId="42" borderId="0">
      <alignment vertical="center"/>
    </xf>
    <xf numFmtId="165" fontId="14" fillId="43" borderId="0">
      <alignment vertical="center"/>
    </xf>
    <xf numFmtId="165" fontId="14" fillId="44" borderId="0">
      <alignment vertical="center"/>
    </xf>
    <xf numFmtId="165" fontId="13" fillId="45" borderId="0">
      <alignment vertical="center"/>
    </xf>
    <xf numFmtId="5" fontId="27" fillId="45" borderId="0">
      <alignment vertical="center"/>
    </xf>
    <xf numFmtId="7" fontId="27" fillId="45" borderId="0">
      <alignment vertical="center"/>
    </xf>
    <xf numFmtId="165" fontId="27" fillId="45" borderId="0">
      <alignment vertical="center"/>
    </xf>
    <xf numFmtId="37" fontId="27" fillId="45" borderId="0">
      <alignment vertical="center"/>
    </xf>
    <xf numFmtId="166" fontId="27" fillId="45" borderId="0">
      <alignment vertical="center"/>
    </xf>
    <xf numFmtId="167" fontId="27" fillId="45" borderId="0">
      <alignment vertical="center"/>
    </xf>
    <xf numFmtId="168" fontId="27" fillId="45" borderId="0">
      <alignment vertical="center"/>
    </xf>
    <xf numFmtId="39" fontId="27" fillId="45" borderId="0">
      <alignment vertical="center"/>
    </xf>
    <xf numFmtId="169" fontId="27" fillId="45" borderId="0">
      <alignment vertical="center"/>
    </xf>
    <xf numFmtId="170" fontId="28" fillId="45" borderId="0">
      <alignment vertical="center"/>
    </xf>
    <xf numFmtId="171" fontId="27" fillId="45" borderId="0">
      <alignment vertical="center"/>
    </xf>
    <xf numFmtId="172" fontId="27" fillId="45" borderId="0">
      <alignment vertical="center"/>
    </xf>
    <xf numFmtId="165" fontId="13" fillId="46" borderId="0">
      <alignment vertical="center"/>
    </xf>
    <xf numFmtId="165" fontId="14" fillId="47" borderId="0">
      <alignment vertical="center"/>
    </xf>
    <xf numFmtId="165" fontId="14" fillId="48" borderId="0">
      <alignment vertical="center"/>
    </xf>
    <xf numFmtId="165" fontId="14" fillId="49" borderId="0">
      <alignment vertical="center"/>
    </xf>
    <xf numFmtId="43" fontId="81" fillId="0" borderId="0" applyFont="0" applyFill="0" applyBorder="0" applyAlignment="0" applyProtection="0"/>
    <xf numFmtId="9" fontId="81" fillId="0" borderId="0" applyFont="0" applyFill="0" applyBorder="0" applyAlignment="0" applyProtection="0"/>
  </cellStyleXfs>
  <cellXfs count="261">
    <xf numFmtId="0" fontId="0" fillId="0" borderId="0" xfId="0" applyFill="1"/>
    <xf numFmtId="0" fontId="29" fillId="50" borderId="0" xfId="0" applyFont="1" applyFill="1"/>
    <xf numFmtId="38" fontId="29" fillId="50" borderId="0" xfId="0" applyNumberFormat="1" applyFont="1" applyFill="1" applyBorder="1" applyAlignment="1"/>
    <xf numFmtId="0" fontId="29" fillId="50" borderId="0" xfId="0" applyFont="1" applyFill="1" applyAlignment="1">
      <alignment horizontal="right"/>
    </xf>
    <xf numFmtId="0" fontId="29" fillId="50" borderId="0" xfId="0" applyFont="1" applyFill="1" applyAlignment="1">
      <alignment horizontal="left"/>
    </xf>
    <xf numFmtId="37" fontId="1" fillId="3" borderId="1" xfId="19">
      <alignment horizontal="right" vertical="center"/>
    </xf>
    <xf numFmtId="165" fontId="13" fillId="45" borderId="0" xfId="196">
      <alignment vertical="center"/>
    </xf>
    <xf numFmtId="38" fontId="29" fillId="50" borderId="0" xfId="0" applyNumberFormat="1" applyFont="1" applyFill="1"/>
    <xf numFmtId="0" fontId="31" fillId="39" borderId="11" xfId="178" applyFont="1" applyFill="1" applyBorder="1" applyProtection="1">
      <protection locked="0"/>
    </xf>
    <xf numFmtId="0" fontId="32" fillId="0" borderId="0" xfId="0" applyFont="1" applyFill="1"/>
    <xf numFmtId="165" fontId="14" fillId="47" borderId="0" xfId="210">
      <alignment vertical="center"/>
    </xf>
    <xf numFmtId="165" fontId="4" fillId="4" borderId="0" xfId="68">
      <alignment horizontal="left" vertical="center"/>
    </xf>
    <xf numFmtId="0" fontId="33" fillId="52" borderId="0" xfId="0" applyFont="1" applyFill="1" applyProtection="1"/>
    <xf numFmtId="165" fontId="1" fillId="3" borderId="1" xfId="26">
      <alignment horizontal="left" vertical="center"/>
    </xf>
    <xf numFmtId="165" fontId="14" fillId="11" borderId="0" xfId="123">
      <alignment vertical="center"/>
    </xf>
    <xf numFmtId="165" fontId="13" fillId="10" borderId="0" xfId="122">
      <alignment vertical="center"/>
    </xf>
    <xf numFmtId="165" fontId="13" fillId="3" borderId="0" xfId="121">
      <alignment vertical="center"/>
    </xf>
    <xf numFmtId="165" fontId="14" fillId="12" borderId="0" xfId="124">
      <alignment vertical="center"/>
    </xf>
    <xf numFmtId="165" fontId="13" fillId="40" borderId="0" xfId="191">
      <alignment vertical="center"/>
    </xf>
    <xf numFmtId="165" fontId="13" fillId="41" borderId="0" xfId="192">
      <alignment vertical="center"/>
    </xf>
    <xf numFmtId="37" fontId="1" fillId="2" borderId="0" xfId="5">
      <alignment horizontal="right" vertical="center"/>
    </xf>
    <xf numFmtId="165" fontId="13" fillId="46" borderId="0" xfId="209">
      <alignment vertical="center"/>
    </xf>
    <xf numFmtId="0" fontId="25" fillId="0" borderId="0" xfId="0" applyFont="1" applyFill="1"/>
    <xf numFmtId="0" fontId="31" fillId="39" borderId="11" xfId="178" applyNumberFormat="1" applyFont="1" applyFill="1" applyBorder="1" applyProtection="1">
      <protection locked="0"/>
    </xf>
    <xf numFmtId="49" fontId="31" fillId="39" borderId="11" xfId="178" applyNumberFormat="1" applyFont="1" applyFill="1" applyBorder="1" applyProtection="1">
      <protection locked="0"/>
    </xf>
    <xf numFmtId="0" fontId="33" fillId="2" borderId="12" xfId="0" applyFont="1" applyFill="1" applyBorder="1" applyAlignment="1" applyProtection="1">
      <alignment horizontal="left" vertical="top" wrapText="1"/>
      <protection locked="0"/>
    </xf>
    <xf numFmtId="0" fontId="33" fillId="2" borderId="12" xfId="0" applyFont="1" applyFill="1" applyBorder="1" applyAlignment="1" applyProtection="1">
      <alignment vertical="top" wrapText="1"/>
      <protection locked="0"/>
    </xf>
    <xf numFmtId="0" fontId="33" fillId="52" borderId="0" xfId="0" applyFont="1" applyFill="1" applyBorder="1" applyProtection="1"/>
    <xf numFmtId="49" fontId="32" fillId="52" borderId="0" xfId="0" applyNumberFormat="1" applyFont="1" applyFill="1" applyProtection="1"/>
    <xf numFmtId="0" fontId="37" fillId="0" borderId="13" xfId="0" applyFont="1" applyFill="1" applyBorder="1" applyAlignment="1">
      <alignment vertical="top"/>
    </xf>
    <xf numFmtId="38" fontId="29" fillId="0" borderId="0" xfId="0" applyNumberFormat="1" applyFont="1" applyFill="1" applyBorder="1" applyAlignment="1"/>
    <xf numFmtId="165" fontId="11" fillId="2" borderId="0" xfId="93">
      <alignment vertical="center"/>
    </xf>
    <xf numFmtId="39" fontId="29" fillId="50" borderId="0" xfId="0" applyNumberFormat="1" applyFont="1" applyFill="1"/>
    <xf numFmtId="0" fontId="40" fillId="52" borderId="0" xfId="0" applyFont="1" applyFill="1" applyAlignment="1" applyProtection="1">
      <alignment horizontal="right" vertical="center"/>
    </xf>
    <xf numFmtId="0" fontId="33" fillId="52" borderId="0" xfId="0" applyNumberFormat="1" applyFont="1" applyFill="1" applyProtection="1"/>
    <xf numFmtId="165" fontId="29" fillId="50" borderId="0" xfId="0" applyNumberFormat="1" applyFont="1" applyFill="1"/>
    <xf numFmtId="165" fontId="1" fillId="2" borderId="0" xfId="40">
      <alignment horizontal="left" vertical="center"/>
    </xf>
    <xf numFmtId="165" fontId="10" fillId="5" borderId="2" xfId="72">
      <alignment horizontal="center" vertical="center" wrapText="1"/>
    </xf>
    <xf numFmtId="0" fontId="0" fillId="55" borderId="0" xfId="0" applyFill="1" applyBorder="1" applyAlignment="1">
      <alignment vertical="top"/>
    </xf>
    <xf numFmtId="0" fontId="29" fillId="50" borderId="0" xfId="0" applyFont="1" applyFill="1" applyBorder="1" applyAlignment="1">
      <alignment horizontal="right"/>
    </xf>
    <xf numFmtId="0" fontId="31" fillId="39" borderId="11" xfId="178" applyFont="1" applyFill="1" applyBorder="1" applyAlignment="1" applyProtection="1">
      <alignment wrapText="1"/>
      <protection locked="0"/>
    </xf>
    <xf numFmtId="0" fontId="0" fillId="55" borderId="0" xfId="0" applyFill="1" applyAlignment="1">
      <alignment vertical="top"/>
    </xf>
    <xf numFmtId="0" fontId="0" fillId="56" borderId="14" xfId="0" applyFill="1" applyBorder="1" applyAlignment="1">
      <alignment vertical="top"/>
    </xf>
    <xf numFmtId="0" fontId="42" fillId="0" borderId="0" xfId="0" applyFont="1" applyFill="1"/>
    <xf numFmtId="0" fontId="0" fillId="0" borderId="14" xfId="0" applyFill="1" applyBorder="1" applyAlignment="1">
      <alignment vertical="top"/>
    </xf>
    <xf numFmtId="37" fontId="4" fillId="7" borderId="0" xfId="81">
      <alignment vertical="center"/>
    </xf>
    <xf numFmtId="0" fontId="0" fillId="0" borderId="15" xfId="0" applyFill="1" applyBorder="1" applyAlignment="1">
      <alignment vertical="top"/>
    </xf>
    <xf numFmtId="38" fontId="29" fillId="50" borderId="0" xfId="0" applyNumberFormat="1" applyFont="1" applyFill="1" applyAlignment="1">
      <alignment horizontal="left"/>
    </xf>
    <xf numFmtId="49" fontId="38" fillId="39" borderId="11" xfId="178" applyNumberFormat="1" applyFont="1" applyFill="1" applyBorder="1" applyProtection="1">
      <protection locked="0"/>
    </xf>
    <xf numFmtId="0" fontId="38" fillId="39" borderId="11" xfId="178" applyFont="1" applyFill="1" applyBorder="1" applyProtection="1">
      <protection locked="0"/>
    </xf>
    <xf numFmtId="165" fontId="14" fillId="48" borderId="0" xfId="211">
      <alignment vertical="center"/>
    </xf>
    <xf numFmtId="49" fontId="33" fillId="52" borderId="0" xfId="0" applyNumberFormat="1" applyFont="1" applyFill="1" applyAlignment="1" applyProtection="1">
      <alignment horizontal="left" vertical="top"/>
    </xf>
    <xf numFmtId="0" fontId="37" fillId="0" borderId="0" xfId="0" applyFont="1" applyFill="1" applyAlignment="1">
      <alignment vertical="top"/>
    </xf>
    <xf numFmtId="0" fontId="47" fillId="52" borderId="0" xfId="0" applyFont="1" applyFill="1" applyBorder="1" applyAlignment="1" applyProtection="1">
      <alignment horizontal="left"/>
    </xf>
    <xf numFmtId="165" fontId="3" fillId="2" borderId="0" xfId="27">
      <alignment vertical="center"/>
    </xf>
    <xf numFmtId="0" fontId="33" fillId="52" borderId="0" xfId="0" applyFont="1" applyFill="1" applyBorder="1" applyAlignment="1" applyProtection="1">
      <alignment horizontal="left" vertical="top" indent="1"/>
    </xf>
    <xf numFmtId="0" fontId="25" fillId="50" borderId="0" xfId="0" applyFont="1" applyFill="1"/>
    <xf numFmtId="3" fontId="37" fillId="0" borderId="13" xfId="0" applyNumberFormat="1" applyFont="1" applyFill="1" applyBorder="1" applyAlignment="1">
      <alignment vertical="top"/>
    </xf>
    <xf numFmtId="0" fontId="29" fillId="50" borderId="0" xfId="0" applyFont="1" applyFill="1" applyBorder="1"/>
    <xf numFmtId="49" fontId="48" fillId="52" borderId="0" xfId="0" applyNumberFormat="1" applyFont="1" applyFill="1" applyAlignment="1" applyProtection="1">
      <alignment horizontal="left" vertical="top"/>
    </xf>
    <xf numFmtId="37" fontId="32" fillId="52" borderId="0" xfId="0" applyNumberFormat="1" applyFont="1" applyFill="1" applyProtection="1"/>
    <xf numFmtId="0" fontId="33" fillId="39" borderId="11" xfId="0" applyFont="1" applyFill="1" applyBorder="1" applyProtection="1">
      <protection locked="0"/>
    </xf>
    <xf numFmtId="0" fontId="33" fillId="52" borderId="0" xfId="0" applyNumberFormat="1" applyFont="1" applyFill="1" applyBorder="1" applyProtection="1"/>
    <xf numFmtId="38" fontId="25" fillId="50" borderId="0" xfId="0" applyNumberFormat="1" applyFont="1" applyFill="1" applyBorder="1" applyAlignment="1">
      <alignment horizontal="left"/>
    </xf>
    <xf numFmtId="0" fontId="40" fillId="52" borderId="0" xfId="0" applyFont="1" applyFill="1" applyAlignment="1" applyProtection="1">
      <alignment vertical="top" wrapText="1"/>
      <protection locked="0"/>
    </xf>
    <xf numFmtId="0" fontId="0" fillId="2" borderId="0" xfId="0"/>
    <xf numFmtId="49" fontId="33" fillId="52" borderId="0" xfId="0" applyNumberFormat="1" applyFont="1" applyFill="1" applyBorder="1" applyProtection="1"/>
    <xf numFmtId="0" fontId="33" fillId="52" borderId="0" xfId="0" applyFont="1" applyFill="1" applyAlignment="1" applyProtection="1">
      <alignment vertical="top"/>
    </xf>
    <xf numFmtId="0" fontId="37" fillId="38" borderId="17" xfId="0" applyFont="1" applyFill="1" applyBorder="1" applyAlignment="1">
      <alignment horizontal="center" vertical="top"/>
    </xf>
    <xf numFmtId="0" fontId="37" fillId="38" borderId="18" xfId="0" applyFont="1" applyFill="1" applyBorder="1" applyAlignment="1">
      <alignment horizontal="center" vertical="top"/>
    </xf>
    <xf numFmtId="0" fontId="50" fillId="52" borderId="0" xfId="0" applyFont="1" applyFill="1" applyProtection="1"/>
    <xf numFmtId="0" fontId="37" fillId="38" borderId="19" xfId="0" applyFont="1" applyFill="1" applyBorder="1" applyAlignment="1">
      <alignment horizontal="left" vertical="top"/>
    </xf>
    <xf numFmtId="0" fontId="29" fillId="0" borderId="0" xfId="0" applyFont="1" applyFill="1"/>
    <xf numFmtId="0" fontId="37" fillId="38" borderId="20" xfId="0" applyFont="1" applyFill="1" applyBorder="1" applyAlignment="1">
      <alignment horizontal="left" vertical="top"/>
    </xf>
    <xf numFmtId="0" fontId="33" fillId="52" borderId="0" xfId="0" applyNumberFormat="1" applyFont="1" applyFill="1" applyAlignment="1" applyProtection="1">
      <alignment vertical="top" wrapText="1"/>
      <protection locked="0"/>
    </xf>
    <xf numFmtId="0" fontId="25" fillId="50" borderId="0" xfId="0" applyFont="1" applyFill="1" applyBorder="1" applyAlignment="1">
      <alignment horizontal="left"/>
    </xf>
    <xf numFmtId="38" fontId="29" fillId="50" borderId="0" xfId="0" quotePrefix="1" applyNumberFormat="1" applyFont="1" applyFill="1" applyAlignment="1">
      <alignment horizontal="right"/>
    </xf>
    <xf numFmtId="165" fontId="4" fillId="7" borderId="0" xfId="88">
      <alignment vertical="center"/>
    </xf>
    <xf numFmtId="0" fontId="51" fillId="0" borderId="0" xfId="0" applyFont="1" applyFill="1"/>
    <xf numFmtId="165" fontId="14" fillId="11" borderId="0" xfId="123" quotePrefix="1">
      <alignment vertical="center"/>
    </xf>
    <xf numFmtId="0" fontId="52" fillId="50" borderId="0" xfId="0" applyFont="1" applyFill="1"/>
    <xf numFmtId="0" fontId="32" fillId="52" borderId="0" xfId="0" applyNumberFormat="1" applyFont="1" applyFill="1" applyProtection="1"/>
    <xf numFmtId="0" fontId="53" fillId="50" borderId="0" xfId="0" applyFont="1" applyFill="1"/>
    <xf numFmtId="37" fontId="25" fillId="39" borderId="0" xfId="189">
      <alignment horizontal="left" vertical="center"/>
    </xf>
    <xf numFmtId="0" fontId="54" fillId="0" borderId="0" xfId="0" applyFont="1" applyFill="1"/>
    <xf numFmtId="0" fontId="55" fillId="0" borderId="0" xfId="0" applyFont="1" applyFill="1"/>
    <xf numFmtId="0" fontId="58" fillId="50" borderId="0" xfId="0" applyFont="1" applyFill="1" applyBorder="1" applyAlignment="1">
      <alignment horizontal="left"/>
    </xf>
    <xf numFmtId="0" fontId="42" fillId="0" borderId="0" xfId="0" applyFont="1" applyFill="1" applyBorder="1"/>
    <xf numFmtId="165" fontId="1" fillId="2" borderId="0" xfId="40" applyFont="1">
      <alignment horizontal="left" vertical="center"/>
    </xf>
    <xf numFmtId="165" fontId="13" fillId="10" borderId="0" xfId="122" quotePrefix="1">
      <alignment vertical="center"/>
    </xf>
    <xf numFmtId="0" fontId="60" fillId="0" borderId="0" xfId="0" applyFont="1" applyFill="1" applyAlignment="1">
      <alignment vertical="top"/>
    </xf>
    <xf numFmtId="0" fontId="29" fillId="50" borderId="0" xfId="0" applyNumberFormat="1" applyFont="1" applyFill="1"/>
    <xf numFmtId="0" fontId="40" fillId="52" borderId="0" xfId="0" applyFont="1" applyFill="1" applyBorder="1" applyAlignment="1" applyProtection="1">
      <alignment horizontal="right" vertical="center"/>
    </xf>
    <xf numFmtId="165" fontId="1" fillId="2" borderId="0" xfId="32">
      <alignment vertical="center"/>
    </xf>
    <xf numFmtId="165" fontId="8" fillId="2" borderId="0" xfId="91">
      <alignment vertical="center"/>
    </xf>
    <xf numFmtId="0" fontId="40" fillId="52" borderId="16" xfId="0" applyFont="1" applyFill="1" applyBorder="1" applyAlignment="1" applyProtection="1">
      <alignment horizontal="left" vertical="top" wrapText="1"/>
      <protection locked="0"/>
    </xf>
    <xf numFmtId="0" fontId="37" fillId="55" borderId="0" xfId="0" applyFont="1" applyFill="1" applyAlignment="1">
      <alignment vertical="top"/>
    </xf>
    <xf numFmtId="164" fontId="32" fillId="52" borderId="0" xfId="0" applyNumberFormat="1" applyFont="1" applyFill="1" applyProtection="1"/>
    <xf numFmtId="0" fontId="32" fillId="52" borderId="0" xfId="0" applyFont="1" applyFill="1" applyAlignment="1" applyProtection="1">
      <alignment vertical="top"/>
    </xf>
    <xf numFmtId="0" fontId="33" fillId="52" borderId="0" xfId="0" applyNumberFormat="1" applyFont="1" applyFill="1" applyAlignment="1" applyProtection="1">
      <alignment vertical="top" wrapText="1"/>
    </xf>
    <xf numFmtId="0" fontId="63" fillId="52" borderId="0" xfId="0" applyFont="1" applyFill="1" applyAlignment="1" applyProtection="1">
      <alignment vertical="top"/>
    </xf>
    <xf numFmtId="0" fontId="32" fillId="2" borderId="12" xfId="0" applyFont="1" applyFill="1" applyBorder="1" applyAlignment="1" applyProtection="1">
      <alignment vertical="top" wrapText="1"/>
      <protection locked="0"/>
    </xf>
    <xf numFmtId="164" fontId="33" fillId="52" borderId="0" xfId="0" applyNumberFormat="1" applyFont="1" applyFill="1" applyAlignment="1" applyProtection="1">
      <alignment horizontal="left"/>
    </xf>
    <xf numFmtId="0" fontId="40" fillId="52" borderId="0" xfId="0" applyFont="1" applyFill="1" applyBorder="1" applyAlignment="1" applyProtection="1">
      <alignment horizontal="left" indent="1"/>
    </xf>
    <xf numFmtId="0" fontId="33" fillId="52" borderId="0" xfId="0" applyNumberFormat="1" applyFont="1" applyFill="1" applyAlignment="1" applyProtection="1">
      <alignment vertical="top"/>
    </xf>
    <xf numFmtId="0" fontId="33" fillId="52" borderId="0" xfId="0" applyFont="1" applyFill="1" applyAlignment="1" applyProtection="1">
      <alignment vertical="top" wrapText="1"/>
      <protection locked="0"/>
    </xf>
    <xf numFmtId="0" fontId="33" fillId="52" borderId="0" xfId="0" applyNumberFormat="1" applyFont="1" applyFill="1" applyBorder="1" applyAlignment="1" applyProtection="1">
      <alignment vertical="top"/>
    </xf>
    <xf numFmtId="0" fontId="24" fillId="0" borderId="0" xfId="188" applyFill="1" applyBorder="1">
      <alignment vertical="center"/>
    </xf>
    <xf numFmtId="0" fontId="40" fillId="52" borderId="16" xfId="0" applyFont="1" applyFill="1" applyBorder="1" applyAlignment="1" applyProtection="1">
      <alignment horizontal="left" indent="1"/>
    </xf>
    <xf numFmtId="0" fontId="40" fillId="52" borderId="0" xfId="0" applyFont="1" applyFill="1" applyBorder="1" applyAlignment="1" applyProtection="1">
      <alignment horizontal="left" vertical="top" indent="1"/>
    </xf>
    <xf numFmtId="0" fontId="65" fillId="52" borderId="0" xfId="0" applyNumberFormat="1" applyFont="1" applyFill="1" applyProtection="1"/>
    <xf numFmtId="0" fontId="40" fillId="52" borderId="0" xfId="0" applyFont="1" applyFill="1" applyBorder="1" applyAlignment="1" applyProtection="1">
      <alignment horizontal="left"/>
    </xf>
    <xf numFmtId="0" fontId="40" fillId="52" borderId="0" xfId="0" applyFont="1" applyFill="1" applyBorder="1" applyAlignment="1" applyProtection="1">
      <alignment horizontal="right" vertical="top"/>
    </xf>
    <xf numFmtId="0" fontId="41" fillId="39" borderId="11" xfId="178" applyFont="1" applyFill="1" applyBorder="1" applyProtection="1">
      <protection locked="0"/>
    </xf>
    <xf numFmtId="0" fontId="37" fillId="0" borderId="0" xfId="0" applyFont="1" applyFill="1" applyBorder="1" applyAlignment="1">
      <alignment vertical="top"/>
    </xf>
    <xf numFmtId="164" fontId="63" fillId="52" borderId="0" xfId="0" applyNumberFormat="1" applyFont="1" applyFill="1" applyAlignment="1" applyProtection="1">
      <alignment vertical="top"/>
    </xf>
    <xf numFmtId="0" fontId="66" fillId="0" borderId="0" xfId="0" applyFont="1" applyFill="1"/>
    <xf numFmtId="0" fontId="29" fillId="52" borderId="0" xfId="0" applyFont="1" applyFill="1" applyAlignment="1" applyProtection="1">
      <alignment vertical="top"/>
    </xf>
    <xf numFmtId="165" fontId="1" fillId="2" borderId="4" xfId="174">
      <alignment horizontal="left" vertical="center"/>
    </xf>
    <xf numFmtId="0" fontId="32" fillId="52" borderId="0" xfId="0" applyFont="1" applyFill="1" applyProtection="1"/>
    <xf numFmtId="0" fontId="25" fillId="0" borderId="0" xfId="0" applyFont="1" applyFill="1" applyBorder="1" applyAlignment="1">
      <alignment horizontal="left"/>
    </xf>
    <xf numFmtId="0" fontId="40" fillId="52" borderId="0" xfId="0" applyNumberFormat="1" applyFont="1" applyFill="1" applyBorder="1" applyAlignment="1" applyProtection="1">
      <alignment horizontal="left" indent="1"/>
    </xf>
    <xf numFmtId="0" fontId="32" fillId="52" borderId="0" xfId="0" applyNumberFormat="1" applyFont="1" applyFill="1" applyAlignment="1" applyProtection="1">
      <alignment vertical="top" wrapText="1"/>
      <protection locked="0"/>
    </xf>
    <xf numFmtId="37" fontId="6" fillId="32" borderId="6" xfId="164">
      <alignment vertical="center"/>
      <protection locked="0"/>
    </xf>
    <xf numFmtId="0" fontId="37" fillId="55" borderId="22" xfId="0" applyFont="1" applyFill="1" applyBorder="1" applyAlignment="1">
      <alignment vertical="top"/>
    </xf>
    <xf numFmtId="0" fontId="68" fillId="38" borderId="23" xfId="0" applyFont="1" applyFill="1" applyBorder="1" applyAlignment="1">
      <alignment horizontal="left" vertical="top"/>
    </xf>
    <xf numFmtId="0" fontId="33" fillId="39" borderId="11" xfId="0" applyFont="1" applyFill="1" applyBorder="1" applyAlignment="1" applyProtection="1">
      <alignment wrapText="1"/>
      <protection locked="0"/>
    </xf>
    <xf numFmtId="164" fontId="32" fillId="52" borderId="0" xfId="0" applyNumberFormat="1" applyFont="1" applyFill="1" applyAlignment="1" applyProtection="1">
      <alignment vertical="top"/>
    </xf>
    <xf numFmtId="0" fontId="37" fillId="0" borderId="22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0" fillId="0" borderId="0" xfId="0" applyFill="1" applyBorder="1" applyAlignment="1">
      <alignment vertical="top"/>
    </xf>
    <xf numFmtId="0" fontId="37" fillId="38" borderId="24" xfId="0" applyFont="1" applyFill="1" applyBorder="1" applyAlignment="1">
      <alignment horizontal="center" vertical="top"/>
    </xf>
    <xf numFmtId="0" fontId="69" fillId="0" borderId="0" xfId="0" applyFont="1" applyFill="1"/>
    <xf numFmtId="0" fontId="65" fillId="52" borderId="0" xfId="0" applyNumberFormat="1" applyFont="1" applyFill="1" applyAlignment="1" applyProtection="1">
      <alignment vertical="top" wrapText="1"/>
      <protection locked="0"/>
    </xf>
    <xf numFmtId="0" fontId="37" fillId="0" borderId="22" xfId="0" applyFont="1" applyFill="1" applyBorder="1" applyAlignment="1">
      <alignment vertical="top"/>
    </xf>
    <xf numFmtId="0" fontId="37" fillId="38" borderId="0" xfId="0" applyFont="1" applyFill="1" applyAlignment="1">
      <alignment vertical="top"/>
    </xf>
    <xf numFmtId="49" fontId="40" fillId="52" borderId="0" xfId="0" applyNumberFormat="1" applyFont="1" applyFill="1" applyBorder="1" applyAlignment="1" applyProtection="1">
      <alignment horizontal="left" indent="1"/>
    </xf>
    <xf numFmtId="0" fontId="70" fillId="38" borderId="0" xfId="0" applyFont="1" applyFill="1" applyAlignment="1">
      <alignment horizontal="left" vertical="top"/>
    </xf>
    <xf numFmtId="0" fontId="32" fillId="52" borderId="0" xfId="0" applyNumberFormat="1" applyFont="1" applyFill="1" applyBorder="1" applyProtection="1"/>
    <xf numFmtId="165" fontId="3" fillId="2" borderId="0" xfId="29">
      <alignment horizontal="center" vertical="center"/>
    </xf>
    <xf numFmtId="0" fontId="0" fillId="55" borderId="25" xfId="0" applyFill="1" applyBorder="1" applyAlignment="1">
      <alignment vertical="top"/>
    </xf>
    <xf numFmtId="0" fontId="71" fillId="50" borderId="0" xfId="0" applyFont="1" applyFill="1" applyBorder="1" applyAlignment="1">
      <alignment horizontal="left"/>
    </xf>
    <xf numFmtId="0" fontId="40" fillId="52" borderId="0" xfId="0" applyFont="1" applyFill="1" applyBorder="1" applyAlignment="1" applyProtection="1">
      <alignment vertical="top" wrapText="1"/>
      <protection locked="0"/>
    </xf>
    <xf numFmtId="0" fontId="0" fillId="0" borderId="14" xfId="0" applyFill="1" applyBorder="1"/>
    <xf numFmtId="38" fontId="29" fillId="50" borderId="0" xfId="0" applyNumberFormat="1" applyFont="1" applyFill="1" applyAlignment="1">
      <alignment horizontal="right"/>
    </xf>
    <xf numFmtId="164" fontId="33" fillId="52" borderId="0" xfId="0" applyNumberFormat="1" applyFont="1" applyFill="1" applyAlignment="1" applyProtection="1">
      <alignment horizontal="left" vertical="top"/>
    </xf>
    <xf numFmtId="0" fontId="40" fillId="52" borderId="0" xfId="0" applyFont="1" applyFill="1" applyBorder="1" applyAlignment="1" applyProtection="1">
      <alignment horizontal="center" vertical="top"/>
    </xf>
    <xf numFmtId="0" fontId="72" fillId="2" borderId="26" xfId="0" applyFont="1" applyFill="1" applyBorder="1" applyAlignment="1" applyProtection="1">
      <alignment vertical="top" wrapText="1"/>
      <protection locked="0"/>
    </xf>
    <xf numFmtId="165" fontId="73" fillId="3" borderId="0" xfId="121" quotePrefix="1" applyFont="1">
      <alignment vertical="center"/>
    </xf>
    <xf numFmtId="0" fontId="51" fillId="0" borderId="0" xfId="0" applyFont="1" applyFill="1" applyBorder="1"/>
    <xf numFmtId="0" fontId="32" fillId="52" borderId="0" xfId="0" applyFont="1" applyFill="1" applyAlignment="1" applyProtection="1">
      <alignment vertical="top" wrapText="1"/>
      <protection locked="0"/>
    </xf>
    <xf numFmtId="0" fontId="47" fillId="52" borderId="0" xfId="0" applyFont="1" applyFill="1" applyAlignment="1" applyProtection="1">
      <alignment horizontal="left" vertical="top"/>
    </xf>
    <xf numFmtId="0" fontId="75" fillId="0" borderId="0" xfId="0" applyFont="1" applyFill="1" applyAlignment="1">
      <alignment horizontal="left" indent="1"/>
    </xf>
    <xf numFmtId="0" fontId="40" fillId="52" borderId="0" xfId="0" applyFont="1" applyFill="1" applyBorder="1" applyAlignment="1" applyProtection="1">
      <alignment horizontal="left" wrapText="1"/>
    </xf>
    <xf numFmtId="0" fontId="37" fillId="38" borderId="0" xfId="0" applyFont="1" applyFill="1" applyAlignment="1">
      <alignment horizontal="centerContinuous" vertical="top"/>
    </xf>
    <xf numFmtId="0" fontId="37" fillId="38" borderId="0" xfId="0" applyFont="1" applyFill="1" applyAlignment="1">
      <alignment horizontal="left" vertical="top"/>
    </xf>
    <xf numFmtId="0" fontId="26" fillId="0" borderId="0" xfId="190" applyFill="1" applyBorder="1">
      <alignment vertical="center"/>
    </xf>
    <xf numFmtId="0" fontId="33" fillId="52" borderId="0" xfId="0" applyFont="1" applyFill="1" applyAlignment="1" applyProtection="1">
      <alignment vertical="top" wrapText="1"/>
    </xf>
    <xf numFmtId="164" fontId="33" fillId="52" borderId="0" xfId="0" applyNumberFormat="1" applyFont="1" applyFill="1" applyBorder="1" applyAlignment="1" applyProtection="1">
      <alignment horizontal="left"/>
    </xf>
    <xf numFmtId="0" fontId="37" fillId="55" borderId="0" xfId="0" applyFont="1" applyFill="1" applyAlignment="1">
      <alignment horizontal="left" vertical="top"/>
    </xf>
    <xf numFmtId="0" fontId="33" fillId="52" borderId="0" xfId="0" applyFont="1" applyFill="1" applyBorder="1" applyAlignment="1" applyProtection="1">
      <alignment vertical="top" wrapText="1"/>
    </xf>
    <xf numFmtId="0" fontId="33" fillId="52" borderId="0" xfId="0" applyFont="1" applyFill="1" applyBorder="1" applyAlignment="1" applyProtection="1">
      <alignment horizontal="left" vertical="top"/>
    </xf>
    <xf numFmtId="0" fontId="65" fillId="52" borderId="0" xfId="0" applyNumberFormat="1" applyFont="1" applyFill="1" applyBorder="1" applyProtection="1"/>
    <xf numFmtId="0" fontId="37" fillId="57" borderId="15" xfId="0" applyFont="1" applyFill="1" applyBorder="1" applyAlignment="1">
      <alignment horizontal="center" vertical="top"/>
    </xf>
    <xf numFmtId="0" fontId="75" fillId="0" borderId="14" xfId="0" applyFont="1" applyFill="1" applyBorder="1"/>
    <xf numFmtId="165" fontId="14" fillId="12" borderId="0" xfId="124" quotePrefix="1">
      <alignment vertical="center"/>
    </xf>
    <xf numFmtId="0" fontId="77" fillId="52" borderId="0" xfId="0" applyFont="1" applyFill="1" applyBorder="1" applyAlignment="1" applyProtection="1">
      <alignment horizontal="left" vertical="top"/>
    </xf>
    <xf numFmtId="0" fontId="37" fillId="0" borderId="0" xfId="0" applyFont="1" applyFill="1" applyAlignment="1">
      <alignment horizontal="left" vertical="top"/>
    </xf>
    <xf numFmtId="0" fontId="33" fillId="2" borderId="26" xfId="0" applyFont="1" applyFill="1" applyBorder="1" applyAlignment="1" applyProtection="1">
      <alignment vertical="top" wrapText="1"/>
      <protection locked="0"/>
    </xf>
    <xf numFmtId="0" fontId="78" fillId="0" borderId="0" xfId="0" applyFont="1" applyFill="1"/>
    <xf numFmtId="0" fontId="33" fillId="2" borderId="26" xfId="0" applyFont="1" applyFill="1" applyBorder="1" applyAlignment="1" applyProtection="1">
      <alignment horizontal="left" vertical="top" wrapText="1"/>
      <protection locked="0"/>
    </xf>
    <xf numFmtId="0" fontId="79" fillId="0" borderId="0" xfId="0" applyFont="1" applyFill="1"/>
    <xf numFmtId="0" fontId="0" fillId="0" borderId="13" xfId="0" applyFill="1" applyBorder="1" applyAlignment="1">
      <alignment vertical="top"/>
    </xf>
    <xf numFmtId="10" fontId="6" fillId="32" borderId="6" xfId="214" applyNumberFormat="1" applyFont="1" applyFill="1" applyBorder="1" applyAlignment="1" applyProtection="1">
      <alignment vertical="center"/>
      <protection locked="0"/>
    </xf>
    <xf numFmtId="165" fontId="83" fillId="0" borderId="0" xfId="121" applyFont="1" applyFill="1">
      <alignment vertical="center"/>
    </xf>
    <xf numFmtId="165" fontId="83" fillId="45" borderId="0" xfId="196" applyFont="1">
      <alignment vertical="center"/>
    </xf>
    <xf numFmtId="37" fontId="1" fillId="2" borderId="0" xfId="5" applyFont="1">
      <alignment horizontal="right" vertical="center"/>
    </xf>
    <xf numFmtId="0" fontId="32" fillId="0" borderId="0" xfId="0" quotePrefix="1" applyFont="1" applyFill="1"/>
    <xf numFmtId="0" fontId="32" fillId="0" borderId="27" xfId="0" quotePrefix="1" applyFont="1" applyFill="1" applyBorder="1"/>
    <xf numFmtId="165" fontId="1" fillId="0" borderId="0" xfId="40" applyFont="1" applyFill="1">
      <alignment horizontal="left" vertical="center"/>
    </xf>
    <xf numFmtId="10" fontId="6" fillId="0" borderId="6" xfId="214" applyNumberFormat="1" applyFont="1" applyFill="1" applyBorder="1" applyAlignment="1" applyProtection="1">
      <alignment vertical="center"/>
      <protection locked="0"/>
    </xf>
    <xf numFmtId="0" fontId="84" fillId="0" borderId="0" xfId="0" quotePrefix="1" applyFont="1" applyFill="1"/>
    <xf numFmtId="173" fontId="32" fillId="0" borderId="0" xfId="213" applyNumberFormat="1" applyFont="1" applyFill="1"/>
    <xf numFmtId="165" fontId="1" fillId="2" borderId="0" xfId="40" applyFont="1" applyAlignment="1">
      <alignment horizontal="left" vertical="center" indent="1"/>
    </xf>
    <xf numFmtId="173" fontId="6" fillId="32" borderId="28" xfId="213" applyNumberFormat="1" applyFont="1" applyFill="1" applyBorder="1" applyAlignment="1" applyProtection="1">
      <alignment vertical="center"/>
      <protection locked="0"/>
    </xf>
    <xf numFmtId="37" fontId="1" fillId="2" borderId="0" xfId="5" applyFont="1" applyBorder="1">
      <alignment horizontal="right" vertical="center"/>
    </xf>
    <xf numFmtId="10" fontId="6" fillId="32" borderId="30" xfId="214" applyNumberFormat="1" applyFont="1" applyFill="1" applyBorder="1" applyAlignment="1" applyProtection="1">
      <alignment vertical="center"/>
      <protection locked="0"/>
    </xf>
    <xf numFmtId="0" fontId="32" fillId="0" borderId="31" xfId="0" quotePrefix="1" applyFont="1" applyFill="1" applyBorder="1"/>
    <xf numFmtId="173" fontId="6" fillId="32" borderId="2" xfId="213" applyNumberFormat="1" applyFont="1" applyFill="1" applyBorder="1" applyAlignment="1" applyProtection="1">
      <alignment vertical="center"/>
      <protection locked="0"/>
    </xf>
    <xf numFmtId="0" fontId="32" fillId="0" borderId="29" xfId="0" quotePrefix="1" applyFont="1" applyFill="1" applyBorder="1"/>
    <xf numFmtId="173" fontId="32" fillId="0" borderId="29" xfId="0" applyNumberFormat="1" applyFont="1" applyFill="1" applyBorder="1"/>
    <xf numFmtId="165" fontId="1" fillId="3" borderId="1" xfId="26" applyAlignment="1">
      <alignment horizontal="left" vertical="center" indent="1"/>
    </xf>
    <xf numFmtId="43" fontId="1" fillId="3" borderId="1" xfId="213" applyFont="1" applyFill="1" applyBorder="1" applyAlignment="1">
      <alignment horizontal="right" vertical="center"/>
    </xf>
    <xf numFmtId="165" fontId="85" fillId="2" borderId="0" xfId="32" applyFont="1">
      <alignment vertical="center"/>
    </xf>
    <xf numFmtId="165" fontId="85" fillId="2" borderId="0" xfId="40" applyFont="1">
      <alignment horizontal="left" vertical="center"/>
    </xf>
    <xf numFmtId="0" fontId="41" fillId="51" borderId="0" xfId="178" applyFont="1" applyFill="1" applyAlignment="1">
      <alignment horizontal="left" vertical="center"/>
    </xf>
    <xf numFmtId="0" fontId="41" fillId="51" borderId="0" xfId="178" applyFont="1" applyFill="1" applyAlignment="1">
      <alignment horizontal="center" vertical="center"/>
    </xf>
    <xf numFmtId="0" fontId="41" fillId="51" borderId="0" xfId="178" applyFont="1" applyFill="1" applyAlignment="1">
      <alignment horizontal="right" vertical="center"/>
    </xf>
    <xf numFmtId="0" fontId="64" fillId="51" borderId="0" xfId="178" applyFont="1" applyFill="1" applyAlignment="1">
      <alignment horizontal="right" vertical="center"/>
    </xf>
    <xf numFmtId="0" fontId="31" fillId="51" borderId="21" xfId="178" applyFont="1" applyFill="1" applyBorder="1"/>
    <xf numFmtId="0" fontId="41" fillId="51" borderId="0" xfId="178" applyFont="1" applyFill="1" applyAlignment="1">
      <alignment horizontal="left" indent="1"/>
    </xf>
    <xf numFmtId="0" fontId="30" fillId="51" borderId="0" xfId="178" applyFont="1" applyFill="1"/>
    <xf numFmtId="0" fontId="45" fillId="51" borderId="0" xfId="178" applyFont="1" applyFill="1"/>
    <xf numFmtId="0" fontId="41" fillId="51" borderId="0" xfId="178" applyFont="1" applyFill="1" applyAlignment="1">
      <alignment horizontal="center" vertical="top"/>
    </xf>
    <xf numFmtId="0" fontId="30" fillId="51" borderId="0" xfId="178" applyFont="1" applyFill="1" applyAlignment="1">
      <alignment horizontal="left" vertical="top"/>
    </xf>
    <xf numFmtId="0" fontId="62" fillId="51" borderId="0" xfId="178" applyFont="1" applyFill="1"/>
    <xf numFmtId="0" fontId="46" fillId="51" borderId="0" xfId="178" applyFont="1" applyFill="1" applyAlignment="1">
      <alignment horizontal="center" vertical="top"/>
    </xf>
    <xf numFmtId="0" fontId="59" fillId="51" borderId="0" xfId="178" applyFont="1" applyFill="1"/>
    <xf numFmtId="0" fontId="31" fillId="39" borderId="11" xfId="178" applyFont="1" applyFill="1" applyBorder="1"/>
    <xf numFmtId="0" fontId="30" fillId="51" borderId="0" xfId="178" applyFont="1" applyFill="1" applyAlignment="1">
      <alignment horizontal="left" indent="3"/>
    </xf>
    <xf numFmtId="0" fontId="59" fillId="51" borderId="0" xfId="178" applyFont="1" applyFill="1" applyAlignment="1">
      <alignment horizontal="left" indent="3"/>
    </xf>
    <xf numFmtId="49" fontId="30" fillId="51" borderId="0" xfId="178" applyNumberFormat="1" applyFont="1" applyFill="1"/>
    <xf numFmtId="0" fontId="30" fillId="51" borderId="0" xfId="178" applyFont="1" applyFill="1" applyAlignment="1">
      <alignment horizontal="left" indent="1"/>
    </xf>
    <xf numFmtId="0" fontId="41" fillId="51" borderId="0" xfId="178" applyFont="1" applyFill="1"/>
    <xf numFmtId="0" fontId="74" fillId="51" borderId="0" xfId="178" applyFont="1" applyFill="1" applyAlignment="1">
      <alignment horizontal="center" vertical="top"/>
    </xf>
    <xf numFmtId="0" fontId="41" fillId="51" borderId="0" xfId="178" applyFont="1" applyFill="1" applyAlignment="1">
      <alignment horizontal="left" vertical="top" wrapText="1"/>
    </xf>
    <xf numFmtId="0" fontId="56" fillId="54" borderId="16" xfId="178" applyFont="1" applyFill="1" applyBorder="1" applyAlignment="1">
      <alignment horizontal="left" indent="1"/>
    </xf>
    <xf numFmtId="0" fontId="35" fillId="54" borderId="0" xfId="178" applyFont="1" applyFill="1"/>
    <xf numFmtId="0" fontId="57" fillId="54" borderId="0" xfId="178" applyFont="1" applyFill="1" applyAlignment="1">
      <alignment horizontal="center" vertical="top"/>
    </xf>
    <xf numFmtId="0" fontId="41" fillId="51" borderId="16" xfId="178" applyFont="1" applyFill="1" applyBorder="1" applyAlignment="1">
      <alignment horizontal="left" indent="1"/>
    </xf>
    <xf numFmtId="0" fontId="41" fillId="51" borderId="0" xfId="178" applyFont="1" applyFill="1" applyAlignment="1">
      <alignment horizontal="left" vertical="top" indent="1"/>
    </xf>
    <xf numFmtId="0" fontId="41" fillId="51" borderId="0" xfId="178" applyFont="1" applyFill="1" applyAlignment="1">
      <alignment horizontal="left"/>
    </xf>
    <xf numFmtId="0" fontId="36" fillId="51" borderId="0" xfId="178" applyFont="1" applyFill="1" applyAlignment="1">
      <alignment horizontal="left" vertical="top" indent="1"/>
    </xf>
    <xf numFmtId="0" fontId="30" fillId="51" borderId="0" xfId="178" applyFont="1" applyFill="1" applyAlignment="1">
      <alignment horizontal="left" vertical="top" indent="1"/>
    </xf>
    <xf numFmtId="0" fontId="41" fillId="51" borderId="16" xfId="178" applyFont="1" applyFill="1" applyBorder="1" applyAlignment="1">
      <alignment horizontal="left" vertical="center" indent="1"/>
    </xf>
    <xf numFmtId="0" fontId="41" fillId="51" borderId="0" xfId="178" applyFont="1" applyFill="1" applyAlignment="1">
      <alignment horizontal="left" wrapText="1"/>
    </xf>
    <xf numFmtId="0" fontId="44" fillId="39" borderId="11" xfId="178" applyFont="1" applyFill="1" applyBorder="1" applyAlignment="1" applyProtection="1">
      <alignment vertical="top" wrapText="1"/>
      <protection locked="0"/>
    </xf>
    <xf numFmtId="0" fontId="46" fillId="51" borderId="0" xfId="178" applyFont="1" applyFill="1" applyAlignment="1">
      <alignment horizontal="left" vertical="top" wrapText="1"/>
    </xf>
    <xf numFmtId="0" fontId="30" fillId="51" borderId="0" xfId="178" applyFont="1" applyFill="1" applyAlignment="1">
      <alignment horizontal="left" vertical="top" wrapText="1"/>
    </xf>
    <xf numFmtId="0" fontId="36" fillId="51" borderId="0" xfId="178" applyFont="1" applyFill="1"/>
    <xf numFmtId="0" fontId="41" fillId="51" borderId="0" xfId="178" applyFont="1" applyFill="1" applyAlignment="1">
      <alignment horizontal="left" vertical="top" indent="3"/>
    </xf>
    <xf numFmtId="0" fontId="30" fillId="51" borderId="0" xfId="178" applyFont="1" applyFill="1" applyAlignment="1">
      <alignment horizontal="left" vertical="top" indent="5"/>
    </xf>
    <xf numFmtId="0" fontId="61" fillId="53" borderId="16" xfId="178" applyFont="1" applyFill="1" applyBorder="1" applyAlignment="1">
      <alignment horizontal="left" indent="1"/>
    </xf>
    <xf numFmtId="0" fontId="34" fillId="53" borderId="0" xfId="178" applyFont="1" applyFill="1"/>
    <xf numFmtId="0" fontId="34" fillId="53" borderId="0" xfId="178" applyFont="1" applyFill="1" applyAlignment="1">
      <alignment horizontal="left" vertical="top" indent="1"/>
    </xf>
    <xf numFmtId="49" fontId="34" fillId="53" borderId="0" xfId="178" applyNumberFormat="1" applyFont="1" applyFill="1"/>
    <xf numFmtId="0" fontId="39" fillId="53" borderId="0" xfId="178" applyFont="1" applyFill="1" applyAlignment="1">
      <alignment horizontal="center" vertical="center"/>
    </xf>
    <xf numFmtId="0" fontId="39" fillId="53" borderId="0" xfId="178" applyFont="1" applyFill="1" applyAlignment="1">
      <alignment horizontal="center"/>
    </xf>
    <xf numFmtId="0" fontId="34" fillId="53" borderId="0" xfId="178" applyFont="1" applyFill="1" applyAlignment="1">
      <alignment horizontal="left" vertical="top" indent="7"/>
    </xf>
    <xf numFmtId="0" fontId="49" fillId="53" borderId="0" xfId="178" applyFont="1" applyFill="1"/>
    <xf numFmtId="0" fontId="34" fillId="53" borderId="0" xfId="178" applyFont="1" applyFill="1" applyAlignment="1">
      <alignment horizontal="left" vertical="top" indent="5"/>
    </xf>
    <xf numFmtId="0" fontId="30" fillId="51" borderId="0" xfId="178" applyFont="1" applyFill="1" applyAlignment="1">
      <alignment horizontal="left" vertical="top" indent="2"/>
    </xf>
    <xf numFmtId="0" fontId="43" fillId="51" borderId="0" xfId="178" applyFont="1" applyFill="1" applyAlignment="1">
      <alignment horizontal="center" vertical="center"/>
    </xf>
    <xf numFmtId="0" fontId="43" fillId="51" borderId="0" xfId="178" applyFont="1" applyFill="1" applyAlignment="1">
      <alignment horizontal="center"/>
    </xf>
    <xf numFmtId="0" fontId="67" fillId="51" borderId="0" xfId="178" applyFont="1" applyFill="1" applyAlignment="1">
      <alignment horizontal="centerContinuous"/>
    </xf>
    <xf numFmtId="0" fontId="31" fillId="39" borderId="11" xfId="178" applyNumberFormat="1" applyFont="1" applyFill="1" applyBorder="1"/>
    <xf numFmtId="0" fontId="76" fillId="48" borderId="0" xfId="211" applyNumberFormat="1" applyFont="1">
      <alignment vertical="center"/>
    </xf>
    <xf numFmtId="43" fontId="32" fillId="0" borderId="32" xfId="213" applyFont="1" applyFill="1" applyBorder="1"/>
    <xf numFmtId="173" fontId="32" fillId="0" borderId="32" xfId="213" applyNumberFormat="1" applyFont="1" applyFill="1" applyBorder="1"/>
    <xf numFmtId="173" fontId="1" fillId="2" borderId="32" xfId="213" applyNumberFormat="1" applyFont="1" applyFill="1" applyBorder="1" applyAlignment="1">
      <alignment horizontal="right" vertical="center"/>
    </xf>
    <xf numFmtId="165" fontId="3" fillId="2" borderId="0" xfId="27" applyAlignment="1">
      <alignment horizontal="center" vertical="center"/>
    </xf>
    <xf numFmtId="165" fontId="87" fillId="40" borderId="0" xfId="191" applyFont="1">
      <alignment vertical="center"/>
    </xf>
    <xf numFmtId="165" fontId="87" fillId="41" borderId="0" xfId="192" applyFont="1">
      <alignment vertical="center"/>
    </xf>
    <xf numFmtId="165" fontId="88" fillId="5" borderId="2" xfId="72" applyFont="1">
      <alignment horizontal="center" vertical="center" wrapText="1"/>
    </xf>
    <xf numFmtId="165" fontId="89" fillId="47" borderId="0" xfId="210" applyFont="1">
      <alignment vertical="center"/>
    </xf>
    <xf numFmtId="0" fontId="86" fillId="0" borderId="0" xfId="0" applyFont="1" applyFill="1"/>
    <xf numFmtId="165" fontId="14" fillId="58" borderId="0" xfId="210" applyFill="1">
      <alignment vertical="center"/>
    </xf>
    <xf numFmtId="165" fontId="13" fillId="58" borderId="0" xfId="191" applyFill="1">
      <alignment vertical="center"/>
    </xf>
    <xf numFmtId="165" fontId="13" fillId="58" borderId="0" xfId="192" applyFill="1">
      <alignment vertical="center"/>
    </xf>
    <xf numFmtId="0" fontId="0" fillId="58" borderId="0" xfId="0" applyFill="1"/>
  </cellXfs>
  <cellStyles count="215">
    <cellStyle name="00 Blk Hdr (A)" xfId="1" xr:uid="{00000000-0005-0000-0000-000000000000}"/>
    <cellStyle name="00 Blk Rcd ($0)" xfId="2" xr:uid="{00000000-0005-0000-0000-000001000000}"/>
    <cellStyle name="00 Blk Rcd ($0.00)" xfId="3" xr:uid="{00000000-0005-0000-0000-000002000000}"/>
    <cellStyle name="00 Blk Rcd (0)" xfId="4" xr:uid="{00000000-0005-0000-0000-000003000000}"/>
    <cellStyle name="00 Blk Rcd (0,)" xfId="5" xr:uid="{00000000-0005-0000-0000-000004000000}"/>
    <cellStyle name="00 Blk Rcd (0.0%)" xfId="6" xr:uid="{00000000-0005-0000-0000-000005000000}"/>
    <cellStyle name="00 Blk Rcd (0.0)" xfId="7" xr:uid="{00000000-0005-0000-0000-000006000000}"/>
    <cellStyle name="00 Blk Rcd (0.00%)" xfId="8" xr:uid="{00000000-0005-0000-0000-000007000000}"/>
    <cellStyle name="00 Blk Rcd (0.00)" xfId="9" xr:uid="{00000000-0005-0000-0000-000008000000}"/>
    <cellStyle name="00 Blk Rcd (0.000)" xfId="10" xr:uid="{00000000-0005-0000-0000-000009000000}"/>
    <cellStyle name="00 Blk Rcd (0.0000)" xfId="11" xr:uid="{00000000-0005-0000-0000-00000A000000}"/>
    <cellStyle name="00 Blk Rcd (A)" xfId="12" xr:uid="{00000000-0005-0000-0000-00000B000000}"/>
    <cellStyle name="00 Blk Rcd (B)" xfId="13" xr:uid="{00000000-0005-0000-0000-00000C000000}"/>
    <cellStyle name="00 Blk Rcd (MDY)" xfId="14" xr:uid="{00000000-0005-0000-0000-00000D000000}"/>
    <cellStyle name="00 Blk Rcd (MY)" xfId="15" xr:uid="{00000000-0005-0000-0000-00000E000000}"/>
    <cellStyle name="00 Blk Ttl ($0)" xfId="16" xr:uid="{00000000-0005-0000-0000-00000F000000}"/>
    <cellStyle name="00 Blk Ttl ($0.00)" xfId="17" xr:uid="{00000000-0005-0000-0000-000010000000}"/>
    <cellStyle name="00 Blk Ttl (0)" xfId="18" xr:uid="{00000000-0005-0000-0000-000011000000}"/>
    <cellStyle name="00 Blk Ttl (0,)" xfId="19" xr:uid="{00000000-0005-0000-0000-000012000000}"/>
    <cellStyle name="00 Blk Ttl (0.0%)" xfId="20" xr:uid="{00000000-0005-0000-0000-000013000000}"/>
    <cellStyle name="00 Blk Ttl (0.0)" xfId="21" xr:uid="{00000000-0005-0000-0000-000014000000}"/>
    <cellStyle name="00 Blk Ttl (0.00%)" xfId="22" xr:uid="{00000000-0005-0000-0000-000015000000}"/>
    <cellStyle name="00 Blk Ttl (0.00)" xfId="23" xr:uid="{00000000-0005-0000-0000-000016000000}"/>
    <cellStyle name="00 Blk Ttl (0.000)" xfId="24" xr:uid="{00000000-0005-0000-0000-000017000000}"/>
    <cellStyle name="00 Blk Ttl (0.0000)" xfId="25" xr:uid="{00000000-0005-0000-0000-000018000000}"/>
    <cellStyle name="00 Blk Ttl (A)" xfId="26" xr:uid="{00000000-0005-0000-0000-000019000000}"/>
    <cellStyle name="00 Grp Hdr (A)" xfId="27" xr:uid="{00000000-0005-0000-0000-00001A000000}"/>
    <cellStyle name="00 Grp Hdr (C)" xfId="28" xr:uid="{00000000-0005-0000-0000-00001B000000}"/>
    <cellStyle name="00 Grp Hdr (D)" xfId="29" xr:uid="{00000000-0005-0000-0000-00001C000000}"/>
    <cellStyle name="00 Grp Rcd ($0)" xfId="30" xr:uid="{00000000-0005-0000-0000-00001D000000}"/>
    <cellStyle name="00 Grp Rcd ($0.00)" xfId="31" xr:uid="{00000000-0005-0000-0000-00001E000000}"/>
    <cellStyle name="00 Grp Rcd (0)" xfId="32" xr:uid="{00000000-0005-0000-0000-00001F000000}"/>
    <cellStyle name="00 Grp Rcd (0,)" xfId="33" xr:uid="{00000000-0005-0000-0000-000020000000}"/>
    <cellStyle name="00 Grp Rcd (0.0%)" xfId="34" xr:uid="{00000000-0005-0000-0000-000021000000}"/>
    <cellStyle name="00 Grp Rcd (0.0)" xfId="35" xr:uid="{00000000-0005-0000-0000-000022000000}"/>
    <cellStyle name="00 Grp Rcd (0.00%)" xfId="36" xr:uid="{00000000-0005-0000-0000-000023000000}"/>
    <cellStyle name="00 Grp Rcd (0.00)" xfId="37" xr:uid="{00000000-0005-0000-0000-000024000000}"/>
    <cellStyle name="00 Grp Rcd (0.000)" xfId="38" xr:uid="{00000000-0005-0000-0000-000025000000}"/>
    <cellStyle name="00 Grp Rcd (0.0000)" xfId="39" xr:uid="{00000000-0005-0000-0000-000026000000}"/>
    <cellStyle name="00 Grp Rcd (A)" xfId="40" xr:uid="{00000000-0005-0000-0000-000027000000}"/>
    <cellStyle name="00 Grp Rcd (B)" xfId="41" xr:uid="{00000000-0005-0000-0000-000028000000}"/>
    <cellStyle name="00 Grp Rcd (C)" xfId="42" xr:uid="{00000000-0005-0000-0000-000029000000}"/>
    <cellStyle name="00 Grp Rcd (MDY)" xfId="43" xr:uid="{00000000-0005-0000-0000-00002A000000}"/>
    <cellStyle name="00 Grp Rcd (MY)" xfId="44" xr:uid="{00000000-0005-0000-0000-00002B000000}"/>
    <cellStyle name="00 Grp Ttl ($0)" xfId="45" xr:uid="{00000000-0005-0000-0000-00002C000000}"/>
    <cellStyle name="00 Grp Ttl ($0.00)" xfId="46" xr:uid="{00000000-0005-0000-0000-00002D000000}"/>
    <cellStyle name="00 Grp Ttl (0)" xfId="47" xr:uid="{00000000-0005-0000-0000-00002E000000}"/>
    <cellStyle name="00 Grp Ttl (0,)" xfId="48" xr:uid="{00000000-0005-0000-0000-00002F000000}"/>
    <cellStyle name="00 Grp Ttl (0.0%)" xfId="49" xr:uid="{00000000-0005-0000-0000-000030000000}"/>
    <cellStyle name="00 Grp Ttl (0.0)" xfId="50" xr:uid="{00000000-0005-0000-0000-000031000000}"/>
    <cellStyle name="00 Grp Ttl (0.00%)" xfId="51" xr:uid="{00000000-0005-0000-0000-000032000000}"/>
    <cellStyle name="00 Grp Ttl (0.00)" xfId="52" xr:uid="{00000000-0005-0000-0000-000033000000}"/>
    <cellStyle name="00 Grp Ttl (0.000)" xfId="53" xr:uid="{00000000-0005-0000-0000-000034000000}"/>
    <cellStyle name="00 Grp Ttl (0.0000)" xfId="54" xr:uid="{00000000-0005-0000-0000-000035000000}"/>
    <cellStyle name="00 Grp Ttl (A)" xfId="55" xr:uid="{00000000-0005-0000-0000-000036000000}"/>
    <cellStyle name="00 Rpt Bnr ($0)" xfId="56" xr:uid="{00000000-0005-0000-0000-000037000000}"/>
    <cellStyle name="00 Rpt Bnr ($0.00)" xfId="57" xr:uid="{00000000-0005-0000-0000-000038000000}"/>
    <cellStyle name="00 Rpt Bnr (0)" xfId="58" xr:uid="{00000000-0005-0000-0000-000039000000}"/>
    <cellStyle name="00 Rpt Bnr (0,)" xfId="59" xr:uid="{00000000-0005-0000-0000-00003A000000}"/>
    <cellStyle name="00 Rpt Bnr (0.0%)" xfId="60" xr:uid="{00000000-0005-0000-0000-00003B000000}"/>
    <cellStyle name="00 Rpt Bnr (0.0)" xfId="61" xr:uid="{00000000-0005-0000-0000-00003C000000}"/>
    <cellStyle name="00 Rpt Bnr (0.00%)" xfId="62" xr:uid="{00000000-0005-0000-0000-00003D000000}"/>
    <cellStyle name="00 Rpt Bnr (0.00)" xfId="63" xr:uid="{00000000-0005-0000-0000-00003E000000}"/>
    <cellStyle name="00 Rpt Bnr (0.000)" xfId="64" xr:uid="{00000000-0005-0000-0000-00003F000000}"/>
    <cellStyle name="00 Rpt Bnr (0.0000)" xfId="65" xr:uid="{00000000-0005-0000-0000-000040000000}"/>
    <cellStyle name="00 Rpt Bnr (A)" xfId="66" xr:uid="{00000000-0005-0000-0000-000041000000}"/>
    <cellStyle name="00 Rpt Bnr (B)" xfId="67" xr:uid="{00000000-0005-0000-0000-000042000000}"/>
    <cellStyle name="00 Rpt Bnr (C)" xfId="68" xr:uid="{00000000-0005-0000-0000-000043000000}"/>
    <cellStyle name="00 Rpt Bnr (D)" xfId="69" xr:uid="{00000000-0005-0000-0000-000044000000}"/>
    <cellStyle name="00 Rpt Bnr (MDY)" xfId="70" xr:uid="{00000000-0005-0000-0000-000045000000}"/>
    <cellStyle name="00 Rpt Bnr (MY)" xfId="71" xr:uid="{00000000-0005-0000-0000-000046000000}"/>
    <cellStyle name="00 Rpt Hdr (A)" xfId="72" xr:uid="{00000000-0005-0000-0000-000047000000}"/>
    <cellStyle name="00 Rpt Hdr (B)" xfId="73" xr:uid="{00000000-0005-0000-0000-000048000000}"/>
    <cellStyle name="00 Rpt Hdr (C)" xfId="74" xr:uid="{00000000-0005-0000-0000-000049000000}"/>
    <cellStyle name="00 Rpt Hdr (D)" xfId="75" xr:uid="{00000000-0005-0000-0000-00004A000000}"/>
    <cellStyle name="00 Rpt Hdr (MDY)" xfId="76" xr:uid="{00000000-0005-0000-0000-00004B000000}"/>
    <cellStyle name="00 Rpt Hdr (MY)" xfId="77" xr:uid="{00000000-0005-0000-0000-00004C000000}"/>
    <cellStyle name="00 Rpt Ttl ($0)" xfId="78" xr:uid="{00000000-0005-0000-0000-00004D000000}"/>
    <cellStyle name="00 Rpt Ttl ($0.00)" xfId="79" xr:uid="{00000000-0005-0000-0000-00004E000000}"/>
    <cellStyle name="00 Rpt Ttl (0)" xfId="80" xr:uid="{00000000-0005-0000-0000-00004F000000}"/>
    <cellStyle name="00 Rpt Ttl (0,)" xfId="81" xr:uid="{00000000-0005-0000-0000-000050000000}"/>
    <cellStyle name="00 Rpt Ttl (0.0%)" xfId="82" xr:uid="{00000000-0005-0000-0000-000051000000}"/>
    <cellStyle name="00 Rpt Ttl (0.0)" xfId="83" xr:uid="{00000000-0005-0000-0000-000052000000}"/>
    <cellStyle name="00 Rpt Ttl (0.00%)" xfId="84" xr:uid="{00000000-0005-0000-0000-000053000000}"/>
    <cellStyle name="00 Rpt Ttl (0.00)" xfId="85" xr:uid="{00000000-0005-0000-0000-000054000000}"/>
    <cellStyle name="00 Rpt Ttl (0.000)" xfId="86" xr:uid="{00000000-0005-0000-0000-000055000000}"/>
    <cellStyle name="00 Rpt Ttl (0.0000)" xfId="87" xr:uid="{00000000-0005-0000-0000-000056000000}"/>
    <cellStyle name="00 Rpt Ttl (A)" xfId="88" xr:uid="{00000000-0005-0000-0000-000057000000}"/>
    <cellStyle name="00 Sheet Minor Title (A)" xfId="89" xr:uid="{00000000-0005-0000-0000-000058000000}"/>
    <cellStyle name="00 Sheet Minor Title (B)" xfId="90" xr:uid="{00000000-0005-0000-0000-000059000000}"/>
    <cellStyle name="00 Sheet SubTitle (A)" xfId="91" xr:uid="{00000000-0005-0000-0000-00005A000000}"/>
    <cellStyle name="00 Sheet SubTitle (B)" xfId="92" xr:uid="{00000000-0005-0000-0000-00005B000000}"/>
    <cellStyle name="00 Sheet Title (A)" xfId="93" xr:uid="{00000000-0005-0000-0000-00005C000000}"/>
    <cellStyle name="00 Sub HDR (A)" xfId="94" xr:uid="{00000000-0005-0000-0000-00005D000000}"/>
    <cellStyle name="00 Sub Rcd ($0)" xfId="95" xr:uid="{00000000-0005-0000-0000-00005E000000}"/>
    <cellStyle name="00 Sub Rcd ($0.00)" xfId="96" xr:uid="{00000000-0005-0000-0000-00005F000000}"/>
    <cellStyle name="00 Sub Rcd (0)" xfId="97" xr:uid="{00000000-0005-0000-0000-000060000000}"/>
    <cellStyle name="00 Sub Rcd (0,)" xfId="98" xr:uid="{00000000-0005-0000-0000-000061000000}"/>
    <cellStyle name="00 Sub Rcd (0.0%)" xfId="99" xr:uid="{00000000-0005-0000-0000-000062000000}"/>
    <cellStyle name="00 Sub Rcd (0.0)" xfId="100" xr:uid="{00000000-0005-0000-0000-000063000000}"/>
    <cellStyle name="00 Sub Rcd (0.00%)" xfId="101" xr:uid="{00000000-0005-0000-0000-000064000000}"/>
    <cellStyle name="00 Sub Rcd (0.00)" xfId="102" xr:uid="{00000000-0005-0000-0000-000065000000}"/>
    <cellStyle name="00 Sub Rcd (0.000)" xfId="103" xr:uid="{00000000-0005-0000-0000-000066000000}"/>
    <cellStyle name="00 Sub Rcd (0.0000)" xfId="104" xr:uid="{00000000-0005-0000-0000-000067000000}"/>
    <cellStyle name="00 Sub Rcd (A)" xfId="105" xr:uid="{00000000-0005-0000-0000-000068000000}"/>
    <cellStyle name="00 Sub Rcd (B)" xfId="106" xr:uid="{00000000-0005-0000-0000-000069000000}"/>
    <cellStyle name="00 Sub Rcd (MDY)" xfId="107" xr:uid="{00000000-0005-0000-0000-00006A000000}"/>
    <cellStyle name="00 Sub Rcd (MY)" xfId="108" xr:uid="{00000000-0005-0000-0000-00006B000000}"/>
    <cellStyle name="00 Sub Ttl ($0)" xfId="109" xr:uid="{00000000-0005-0000-0000-00006C000000}"/>
    <cellStyle name="00 Sub Ttl ($0.00)" xfId="110" xr:uid="{00000000-0005-0000-0000-00006D000000}"/>
    <cellStyle name="00 Sub Ttl (0)" xfId="111" xr:uid="{00000000-0005-0000-0000-00006E000000}"/>
    <cellStyle name="00 Sub Ttl (0,)" xfId="112" xr:uid="{00000000-0005-0000-0000-00006F000000}"/>
    <cellStyle name="00 Sub Ttl (0.0%)" xfId="113" xr:uid="{00000000-0005-0000-0000-000070000000}"/>
    <cellStyle name="00 Sub Ttl (0.0)" xfId="114" xr:uid="{00000000-0005-0000-0000-000071000000}"/>
    <cellStyle name="00 Sub Ttl (0.00%)" xfId="115" xr:uid="{00000000-0005-0000-0000-000072000000}"/>
    <cellStyle name="00 Sub Ttl (0.00)" xfId="116" xr:uid="{00000000-0005-0000-0000-000073000000}"/>
    <cellStyle name="00 Sub Ttl (0.000)" xfId="117" xr:uid="{00000000-0005-0000-0000-000074000000}"/>
    <cellStyle name="00 Sub Ttl (0.0000)" xfId="118" xr:uid="{00000000-0005-0000-0000-000075000000}"/>
    <cellStyle name="00 Sub Ttl (A)" xfId="119" xr:uid="{00000000-0005-0000-0000-000076000000}"/>
    <cellStyle name="00 Top Brand Med (A)" xfId="120" xr:uid="{00000000-0005-0000-0000-000077000000}"/>
    <cellStyle name="AQ1" xfId="121" xr:uid="{00000000-0005-0000-0000-000078000000}"/>
    <cellStyle name="AQ2" xfId="122" xr:uid="{00000000-0005-0000-0000-000079000000}"/>
    <cellStyle name="AQ3" xfId="123" xr:uid="{00000000-0005-0000-0000-00007A000000}"/>
    <cellStyle name="AQ4" xfId="124" xr:uid="{00000000-0005-0000-0000-00007B000000}"/>
    <cellStyle name="AQ5" xfId="125" xr:uid="{00000000-0005-0000-0000-00007C000000}"/>
    <cellStyle name="Button (A)" xfId="126" xr:uid="{00000000-0005-0000-0000-00007D000000}"/>
    <cellStyle name="Button (B)" xfId="127" xr:uid="{00000000-0005-0000-0000-00007E000000}"/>
    <cellStyle name="CM1" xfId="128" xr:uid="{00000000-0005-0000-0000-00007F000000}"/>
    <cellStyle name="CM2" xfId="129" xr:uid="{00000000-0005-0000-0000-000080000000}"/>
    <cellStyle name="CM3" xfId="130" xr:uid="{00000000-0005-0000-0000-000081000000}"/>
    <cellStyle name="CM4" xfId="131" xr:uid="{00000000-0005-0000-0000-000082000000}"/>
    <cellStyle name="CM5" xfId="132" xr:uid="{00000000-0005-0000-0000-000083000000}"/>
    <cellStyle name="Comma" xfId="213" builtinId="3"/>
    <cellStyle name="Dbl-Click (A)" xfId="133" xr:uid="{00000000-0005-0000-0000-000084000000}"/>
    <cellStyle name="Drop Down ($0)" xfId="134" xr:uid="{00000000-0005-0000-0000-000085000000}"/>
    <cellStyle name="Drop Down ($0.00)" xfId="135" xr:uid="{00000000-0005-0000-0000-000086000000}"/>
    <cellStyle name="Drop Down (0)" xfId="136" xr:uid="{00000000-0005-0000-0000-000087000000}"/>
    <cellStyle name="Drop Down (0,)" xfId="137" xr:uid="{00000000-0005-0000-0000-000088000000}"/>
    <cellStyle name="Drop Down (0.0%)" xfId="138" xr:uid="{00000000-0005-0000-0000-000089000000}"/>
    <cellStyle name="Drop Down (0.0)" xfId="139" xr:uid="{00000000-0005-0000-0000-00008A000000}"/>
    <cellStyle name="Drop Down (0.00%)" xfId="140" xr:uid="{00000000-0005-0000-0000-00008B000000}"/>
    <cellStyle name="Drop Down (0.00)" xfId="141" xr:uid="{00000000-0005-0000-0000-00008C000000}"/>
    <cellStyle name="Drop Down (0.000)" xfId="142" xr:uid="{00000000-0005-0000-0000-00008D000000}"/>
    <cellStyle name="Drop Down (0.0000)" xfId="143" xr:uid="{00000000-0005-0000-0000-00008E000000}"/>
    <cellStyle name="Drop Down (A)" xfId="144" xr:uid="{00000000-0005-0000-0000-00008F000000}"/>
    <cellStyle name="Drop Down (MDY)" xfId="145" xr:uid="{00000000-0005-0000-0000-000090000000}"/>
    <cellStyle name="Drop Down (MY)" xfId="146" xr:uid="{00000000-0005-0000-0000-000091000000}"/>
    <cellStyle name="DS1" xfId="147" xr:uid="{00000000-0005-0000-0000-000092000000}"/>
    <cellStyle name="DS2" xfId="148" xr:uid="{00000000-0005-0000-0000-000093000000}"/>
    <cellStyle name="DS3" xfId="149" xr:uid="{00000000-0005-0000-0000-000094000000}"/>
    <cellStyle name="DS4" xfId="150" xr:uid="{00000000-0005-0000-0000-000095000000}"/>
    <cellStyle name="DS5" xfId="151" xr:uid="{00000000-0005-0000-0000-000096000000}"/>
    <cellStyle name="Explanatory Text (A)" xfId="152" xr:uid="{00000000-0005-0000-0000-000097000000}"/>
    <cellStyle name="Explanatory Text (B)" xfId="153" xr:uid="{00000000-0005-0000-0000-000098000000}"/>
    <cellStyle name="File_Icon (A)" xfId="154" xr:uid="{00000000-0005-0000-0000-000099000000}"/>
    <cellStyle name="GT1" xfId="155" xr:uid="{00000000-0005-0000-0000-00009A000000}"/>
    <cellStyle name="GT2" xfId="156" xr:uid="{00000000-0005-0000-0000-00009B000000}"/>
    <cellStyle name="GT3" xfId="157" xr:uid="{00000000-0005-0000-0000-00009C000000}"/>
    <cellStyle name="GT4" xfId="158" xr:uid="{00000000-0005-0000-0000-00009D000000}"/>
    <cellStyle name="GT5" xfId="159" xr:uid="{00000000-0005-0000-0000-00009E000000}"/>
    <cellStyle name="Input #" xfId="160" xr:uid="{00000000-0005-0000-0000-00009F000000}"/>
    <cellStyle name="Input ($0)" xfId="161" xr:uid="{00000000-0005-0000-0000-0000A0000000}"/>
    <cellStyle name="Input ($0.00)" xfId="162" xr:uid="{00000000-0005-0000-0000-0000A1000000}"/>
    <cellStyle name="Input (0)" xfId="163" xr:uid="{00000000-0005-0000-0000-0000A2000000}"/>
    <cellStyle name="Input (0,)" xfId="164" xr:uid="{00000000-0005-0000-0000-0000A3000000}"/>
    <cellStyle name="Input (0.0%)" xfId="165" xr:uid="{00000000-0005-0000-0000-0000A4000000}"/>
    <cellStyle name="Input (0.0)" xfId="166" xr:uid="{00000000-0005-0000-0000-0000A5000000}"/>
    <cellStyle name="Input (0.00%)" xfId="167" xr:uid="{00000000-0005-0000-0000-0000A6000000}"/>
    <cellStyle name="Input (0.00)" xfId="168" xr:uid="{00000000-0005-0000-0000-0000A7000000}"/>
    <cellStyle name="Input (0.000)" xfId="169" xr:uid="{00000000-0005-0000-0000-0000A8000000}"/>
    <cellStyle name="Input (0.0000)" xfId="170" xr:uid="{00000000-0005-0000-0000-0000A9000000}"/>
    <cellStyle name="Input (A)" xfId="171" xr:uid="{00000000-0005-0000-0000-0000AA000000}"/>
    <cellStyle name="Input (MDY)" xfId="172" xr:uid="{00000000-0005-0000-0000-0000AB000000}"/>
    <cellStyle name="Input (MY)" xfId="173" xr:uid="{00000000-0005-0000-0000-0000AC000000}"/>
    <cellStyle name="List Item (A)" xfId="174" xr:uid="{00000000-0005-0000-0000-0000AD000000}"/>
    <cellStyle name="List Item (B)" xfId="175" xr:uid="{00000000-0005-0000-0000-0000AE000000}"/>
    <cellStyle name="List Item (C)" xfId="176" xr:uid="{00000000-0005-0000-0000-0000AF000000}"/>
    <cellStyle name="List Item (D)" xfId="177" xr:uid="{00000000-0005-0000-0000-0000B0000000}"/>
    <cellStyle name="Normal" xfId="0" builtinId="0" customBuiltin="1"/>
    <cellStyle name="Normal 2" xfId="178" xr:uid="{00000000-0005-0000-0000-0000B2000000}"/>
    <cellStyle name="Percent" xfId="214" builtinId="5"/>
    <cellStyle name="Place Cursor Here (A)" xfId="179" xr:uid="{00000000-0005-0000-0000-0000B3000000}"/>
    <cellStyle name="Place Cursor Here (B)" xfId="180" xr:uid="{00000000-0005-0000-0000-0000B4000000}"/>
    <cellStyle name="Red Flag (A)" xfId="181" xr:uid="{00000000-0005-0000-0000-0000B5000000}"/>
    <cellStyle name="Red Flag (B)" xfId="182" xr:uid="{00000000-0005-0000-0000-0000B6000000}"/>
    <cellStyle name="SD1" xfId="183" xr:uid="{00000000-0005-0000-0000-0000B7000000}"/>
    <cellStyle name="SD2" xfId="184" xr:uid="{00000000-0005-0000-0000-0000B8000000}"/>
    <cellStyle name="SD3" xfId="185" xr:uid="{00000000-0005-0000-0000-0000B9000000}"/>
    <cellStyle name="SD4" xfId="186" xr:uid="{00000000-0005-0000-0000-0000BA000000}"/>
    <cellStyle name="SD5" xfId="187" xr:uid="{00000000-0005-0000-0000-0000BB000000}"/>
    <cellStyle name="Section Header" xfId="188" xr:uid="{00000000-0005-0000-0000-0000BC000000}"/>
    <cellStyle name="Sub-Section Header" xfId="189" xr:uid="{00000000-0005-0000-0000-0000BD000000}"/>
    <cellStyle name="Title Single" xfId="190" xr:uid="{00000000-0005-0000-0000-0000BE000000}"/>
    <cellStyle name="VW1" xfId="191" xr:uid="{00000000-0005-0000-0000-0000BF000000}"/>
    <cellStyle name="VW2" xfId="192" xr:uid="{00000000-0005-0000-0000-0000C0000000}"/>
    <cellStyle name="VW3" xfId="193" xr:uid="{00000000-0005-0000-0000-0000C1000000}"/>
    <cellStyle name="VW4" xfId="194" xr:uid="{00000000-0005-0000-0000-0000C2000000}"/>
    <cellStyle name="VW5" xfId="195" xr:uid="{00000000-0005-0000-0000-0000C3000000}"/>
    <cellStyle name="WC1" xfId="196" xr:uid="{00000000-0005-0000-0000-0000C4000000}"/>
    <cellStyle name="WC1 ($0)" xfId="197" xr:uid="{00000000-0005-0000-0000-0000C5000000}"/>
    <cellStyle name="WC1 ($0.00)" xfId="198" xr:uid="{00000000-0005-0000-0000-0000C6000000}"/>
    <cellStyle name="WC1 (0)" xfId="199" xr:uid="{00000000-0005-0000-0000-0000C7000000}"/>
    <cellStyle name="WC1 (0,)" xfId="200" xr:uid="{00000000-0005-0000-0000-0000C8000000}"/>
    <cellStyle name="WC1 (0.0%)" xfId="201" xr:uid="{00000000-0005-0000-0000-0000C9000000}"/>
    <cellStyle name="WC1 (0.0)" xfId="202" xr:uid="{00000000-0005-0000-0000-0000CA000000}"/>
    <cellStyle name="WC1 (0.00%)" xfId="203" xr:uid="{00000000-0005-0000-0000-0000CB000000}"/>
    <cellStyle name="WC1 (0.00)" xfId="204" xr:uid="{00000000-0005-0000-0000-0000CC000000}"/>
    <cellStyle name="WC1 (0.000)" xfId="205" xr:uid="{00000000-0005-0000-0000-0000CD000000}"/>
    <cellStyle name="WC1 (0.0000)" xfId="206" xr:uid="{00000000-0005-0000-0000-0000CE000000}"/>
    <cellStyle name="WC1 (MDY)" xfId="207" xr:uid="{00000000-0005-0000-0000-0000CF000000}"/>
    <cellStyle name="WC1 (MY)" xfId="208" xr:uid="{00000000-0005-0000-0000-0000D0000000}"/>
    <cellStyle name="WC2" xfId="209" xr:uid="{00000000-0005-0000-0000-0000D1000000}"/>
    <cellStyle name="WC3" xfId="210" xr:uid="{00000000-0005-0000-0000-0000D2000000}"/>
    <cellStyle name="WC4" xfId="211" xr:uid="{00000000-0005-0000-0000-0000D3000000}"/>
    <cellStyle name="WC5" xfId="212" xr:uid="{00000000-0005-0000-0000-0000D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KHA-EPM">
  <a:themeElements>
    <a:clrScheme name="KHEPM">
      <a:dk1>
        <a:sysClr val="windowText" lastClr="000000"/>
      </a:dk1>
      <a:lt1>
        <a:sysClr val="window" lastClr="FFFFFF"/>
      </a:lt1>
      <a:dk2>
        <a:srgbClr val="586168"/>
      </a:dk2>
      <a:lt2>
        <a:srgbClr val="EBEBEB"/>
      </a:lt2>
      <a:accent1>
        <a:srgbClr val="B01513"/>
      </a:accent1>
      <a:accent2>
        <a:srgbClr val="F7D4B7"/>
      </a:accent2>
      <a:accent3>
        <a:srgbClr val="F8F5B6"/>
      </a:accent3>
      <a:accent4>
        <a:srgbClr val="6AAC90"/>
      </a:accent4>
      <a:accent5>
        <a:srgbClr val="BBD4EB"/>
      </a:accent5>
      <a:accent6>
        <a:srgbClr val="9E5E9B"/>
      </a:accent6>
      <a:hlink>
        <a:srgbClr val="5F9C9D"/>
      </a:hlink>
      <a:folHlink>
        <a:srgbClr val="9E5E9B"/>
      </a:folHlink>
    </a:clrScheme>
    <a:fontScheme name="san_diego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6"/>
  <sheetViews>
    <sheetView showGridLines="0" topLeftCell="B57" workbookViewId="0">
      <selection activeCell="B1" sqref="B1"/>
    </sheetView>
  </sheetViews>
  <sheetFormatPr defaultColWidth="9" defaultRowHeight="16.8"/>
  <cols>
    <col min="1" max="1" width="49.19921875" style="98" hidden="1" customWidth="1"/>
    <col min="2" max="2" width="2" style="12" customWidth="1"/>
    <col min="3" max="3" width="45" style="98" customWidth="1"/>
    <col min="4" max="4" width="43.69921875" style="119" customWidth="1"/>
    <col min="5" max="5" width="17.8984375" style="119" customWidth="1"/>
    <col min="6" max="6" width="18.3984375" style="119" customWidth="1"/>
    <col min="7" max="7" width="14.19921875" style="119" customWidth="1"/>
    <col min="8" max="8" width="9" style="119"/>
    <col min="9" max="9" width="15.69921875" style="119" customWidth="1"/>
    <col min="10" max="12" width="9" style="119"/>
    <col min="13" max="13" width="16.3984375" style="119" customWidth="1"/>
    <col min="14" max="16384" width="9" style="119"/>
  </cols>
  <sheetData>
    <row r="1" spans="1:26" ht="18.75" customHeight="1">
      <c r="B1" s="67"/>
      <c r="C1" s="67"/>
      <c r="D1" s="103"/>
      <c r="E1" s="103"/>
      <c r="F1" s="12"/>
      <c r="G1" s="12"/>
      <c r="H1" s="12"/>
      <c r="I1" s="12"/>
      <c r="J1" s="12"/>
      <c r="K1" s="12"/>
      <c r="L1" s="12"/>
      <c r="M1" s="12"/>
    </row>
    <row r="2" spans="1:26" ht="15" hidden="1" customHeight="1">
      <c r="A2" s="95" t="s">
        <v>283</v>
      </c>
      <c r="D2" s="98">
        <v>4</v>
      </c>
      <c r="E2" s="12"/>
      <c r="F2" s="12"/>
      <c r="G2" s="12"/>
      <c r="H2" s="12"/>
      <c r="I2" s="12"/>
      <c r="J2" s="12"/>
      <c r="K2" s="12"/>
      <c r="L2" s="12"/>
      <c r="M2" s="12"/>
    </row>
    <row r="3" spans="1:26" s="81" customFormat="1" ht="15" hidden="1" customHeight="1">
      <c r="A3" s="104"/>
      <c r="B3" s="12"/>
      <c r="E3" s="62"/>
      <c r="F3" s="34"/>
      <c r="G3" s="34"/>
      <c r="H3" s="34"/>
      <c r="I3" s="34"/>
      <c r="J3" s="34"/>
      <c r="K3" s="34"/>
      <c r="L3" s="34"/>
      <c r="M3" s="110"/>
    </row>
    <row r="4" spans="1:26" s="139" customFormat="1" ht="15" hidden="1" customHeight="1">
      <c r="A4" s="106"/>
      <c r="B4" s="27"/>
      <c r="E4" s="62"/>
      <c r="F4" s="62"/>
      <c r="G4" s="62"/>
      <c r="H4" s="62"/>
      <c r="I4" s="62"/>
      <c r="J4" s="62"/>
      <c r="K4" s="62"/>
      <c r="L4" s="62"/>
      <c r="M4" s="163"/>
    </row>
    <row r="5" spans="1:26" s="139" customFormat="1" ht="15" hidden="1" customHeight="1">
      <c r="A5" s="106"/>
      <c r="B5" s="27"/>
      <c r="D5" s="121"/>
      <c r="E5" s="62"/>
      <c r="F5" s="62"/>
      <c r="G5" s="62"/>
      <c r="H5" s="62"/>
      <c r="I5" s="62"/>
      <c r="J5" s="62"/>
      <c r="K5" s="62"/>
      <c r="L5" s="62"/>
      <c r="M5" s="163"/>
    </row>
    <row r="6" spans="1:26" s="139" customFormat="1" ht="15" hidden="1" customHeight="1">
      <c r="A6" s="106"/>
      <c r="B6" s="27"/>
      <c r="D6" s="121"/>
      <c r="E6" s="62"/>
      <c r="F6" s="62"/>
      <c r="G6" s="62"/>
      <c r="H6" s="62"/>
      <c r="I6" s="62"/>
      <c r="J6" s="62"/>
      <c r="K6" s="62"/>
      <c r="L6" s="62"/>
      <c r="M6" s="163"/>
    </row>
    <row r="7" spans="1:26" s="139" customFormat="1" ht="18.75" customHeight="1">
      <c r="A7" s="106"/>
      <c r="B7" s="27"/>
      <c r="C7" s="167" t="s">
        <v>66</v>
      </c>
      <c r="D7" s="121"/>
      <c r="E7" s="62"/>
      <c r="F7" s="62"/>
      <c r="G7" s="62"/>
      <c r="H7" s="62"/>
      <c r="I7" s="62"/>
      <c r="J7" s="62"/>
      <c r="K7" s="62"/>
      <c r="L7" s="62"/>
      <c r="M7" s="163"/>
    </row>
    <row r="8" spans="1:26" s="139" customFormat="1" ht="15.75" customHeight="1">
      <c r="A8" s="106"/>
      <c r="B8" s="27"/>
      <c r="C8" s="147"/>
      <c r="D8" s="121"/>
      <c r="E8" s="62"/>
      <c r="F8" s="62"/>
      <c r="G8" s="62"/>
      <c r="H8" s="62"/>
      <c r="I8" s="62"/>
      <c r="J8" s="62"/>
      <c r="K8" s="62"/>
      <c r="L8" s="62"/>
      <c r="M8" s="163"/>
    </row>
    <row r="9" spans="1:26" ht="15.75" customHeight="1">
      <c r="A9" s="108"/>
      <c r="C9" s="53" t="s">
        <v>381</v>
      </c>
      <c r="D9" s="27"/>
      <c r="E9" s="27"/>
      <c r="F9" s="12"/>
      <c r="G9" s="12"/>
      <c r="H9" s="12"/>
      <c r="I9" s="12"/>
      <c r="J9" s="12"/>
      <c r="K9" s="12"/>
      <c r="L9" s="12"/>
      <c r="M9" s="12"/>
    </row>
    <row r="10" spans="1:26" s="101" customFormat="1" ht="15.75" customHeight="1">
      <c r="A10" s="95" t="s">
        <v>284</v>
      </c>
      <c r="B10" s="99"/>
      <c r="C10" s="55" t="s">
        <v>418</v>
      </c>
      <c r="D10" s="169" t="s">
        <v>586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5"/>
      <c r="U10" s="25"/>
      <c r="V10" s="25"/>
      <c r="W10" s="25"/>
      <c r="X10" s="25"/>
      <c r="Y10" s="25"/>
      <c r="Z10" s="25"/>
    </row>
    <row r="11" spans="1:26" s="151" customFormat="1" ht="15.75" hidden="1" customHeight="1">
      <c r="A11" s="95"/>
      <c r="B11" s="158"/>
      <c r="C11" s="55"/>
      <c r="D11" s="169"/>
      <c r="E11" s="143"/>
      <c r="F11" s="64"/>
      <c r="G11" s="64"/>
      <c r="H11" s="64"/>
      <c r="I11" s="64"/>
      <c r="J11" s="64"/>
      <c r="K11" s="64"/>
      <c r="L11" s="64"/>
      <c r="M11" s="64"/>
    </row>
    <row r="12" spans="1:26" s="151" customFormat="1" ht="15.75" hidden="1" customHeight="1">
      <c r="A12" s="95"/>
      <c r="B12" s="158"/>
      <c r="C12" s="55"/>
      <c r="D12" s="169"/>
      <c r="E12" s="143"/>
      <c r="F12" s="64"/>
      <c r="G12" s="64"/>
      <c r="H12" s="64"/>
      <c r="I12" s="64"/>
      <c r="J12" s="64"/>
      <c r="K12" s="64"/>
      <c r="L12" s="64"/>
      <c r="M12" s="64"/>
    </row>
    <row r="13" spans="1:26" s="151" customFormat="1" ht="15.75" hidden="1" customHeight="1">
      <c r="A13" s="95"/>
      <c r="B13" s="158"/>
      <c r="C13" s="55"/>
      <c r="D13" s="169"/>
      <c r="E13" s="143"/>
      <c r="F13" s="64"/>
      <c r="G13" s="64"/>
      <c r="H13" s="64"/>
      <c r="I13" s="64"/>
      <c r="J13" s="64"/>
      <c r="K13" s="64"/>
      <c r="L13" s="64"/>
      <c r="M13" s="64"/>
    </row>
    <row r="14" spans="1:26" s="151" customFormat="1" ht="15.75" hidden="1" customHeight="1">
      <c r="A14" s="95"/>
      <c r="B14" s="158"/>
      <c r="C14" s="55"/>
      <c r="D14" s="169"/>
      <c r="E14" s="143"/>
      <c r="F14" s="64"/>
      <c r="G14" s="64"/>
      <c r="H14" s="64"/>
      <c r="I14" s="64"/>
      <c r="J14" s="64"/>
      <c r="K14" s="64"/>
      <c r="L14" s="64"/>
      <c r="M14" s="64"/>
    </row>
    <row r="15" spans="1:26" s="151" customFormat="1" ht="15.75" hidden="1" customHeight="1">
      <c r="A15" s="95"/>
      <c r="B15" s="158"/>
      <c r="C15" s="55"/>
      <c r="D15" s="169"/>
      <c r="E15" s="143"/>
      <c r="F15" s="64"/>
      <c r="G15" s="64"/>
      <c r="H15" s="64"/>
      <c r="I15" s="64"/>
      <c r="J15" s="64"/>
      <c r="K15" s="64"/>
      <c r="L15" s="64"/>
      <c r="M15" s="64"/>
    </row>
    <row r="16" spans="1:26" s="151" customFormat="1" ht="15.75" hidden="1" customHeight="1">
      <c r="A16" s="95"/>
      <c r="B16" s="158"/>
      <c r="C16" s="55"/>
      <c r="D16" s="169"/>
      <c r="E16" s="143"/>
      <c r="F16" s="64"/>
      <c r="G16" s="64"/>
      <c r="H16" s="64"/>
      <c r="I16" s="64"/>
      <c r="J16" s="64"/>
      <c r="K16" s="64"/>
      <c r="L16" s="64"/>
      <c r="M16" s="64"/>
    </row>
    <row r="17" spans="1:26" s="151" customFormat="1" ht="15.75" hidden="1" customHeight="1">
      <c r="A17" s="95"/>
      <c r="B17" s="158"/>
      <c r="C17" s="55"/>
      <c r="D17" s="169"/>
      <c r="E17" s="143"/>
      <c r="F17" s="64"/>
      <c r="G17" s="64"/>
      <c r="H17" s="64"/>
      <c r="I17" s="64"/>
      <c r="J17" s="64"/>
      <c r="K17" s="64"/>
      <c r="L17" s="64"/>
      <c r="M17" s="64"/>
    </row>
    <row r="18" spans="1:26" s="151" customFormat="1" ht="15.75" hidden="1" customHeight="1">
      <c r="A18" s="95"/>
      <c r="B18" s="158"/>
      <c r="C18" s="55"/>
      <c r="D18" s="169"/>
      <c r="E18" s="143"/>
      <c r="F18" s="64"/>
      <c r="G18" s="64"/>
      <c r="H18" s="64"/>
      <c r="I18" s="64"/>
      <c r="J18" s="64"/>
      <c r="K18" s="64"/>
      <c r="L18" s="64"/>
      <c r="M18" s="64"/>
    </row>
    <row r="19" spans="1:26" s="151" customFormat="1" ht="15.75" hidden="1" customHeight="1">
      <c r="A19" s="95"/>
      <c r="B19" s="158"/>
      <c r="C19" s="55"/>
      <c r="D19" s="169"/>
      <c r="E19" s="143"/>
      <c r="F19" s="64"/>
      <c r="G19" s="64"/>
      <c r="H19" s="64"/>
      <c r="I19" s="64"/>
      <c r="J19" s="64"/>
      <c r="K19" s="64"/>
      <c r="L19" s="64"/>
      <c r="M19" s="64"/>
    </row>
    <row r="20" spans="1:26" s="151" customFormat="1" ht="15.75" hidden="1" customHeight="1">
      <c r="A20" s="95"/>
      <c r="B20" s="158"/>
      <c r="C20" s="55"/>
      <c r="D20" s="169"/>
      <c r="E20" s="143"/>
      <c r="F20" s="64"/>
      <c r="G20" s="64"/>
      <c r="H20" s="64"/>
      <c r="I20" s="64"/>
      <c r="J20" s="64"/>
      <c r="K20" s="64"/>
      <c r="L20" s="64"/>
      <c r="M20" s="64"/>
    </row>
    <row r="21" spans="1:26" s="151" customFormat="1" ht="15.75" hidden="1" customHeight="1">
      <c r="A21" s="95"/>
      <c r="B21" s="158"/>
      <c r="C21" s="55"/>
      <c r="D21" s="169"/>
      <c r="E21" s="143"/>
      <c r="F21" s="64"/>
      <c r="G21" s="64"/>
      <c r="H21" s="64"/>
      <c r="I21" s="64"/>
      <c r="J21" s="64"/>
      <c r="K21" s="64"/>
      <c r="L21" s="64"/>
      <c r="M21" s="64"/>
    </row>
    <row r="22" spans="1:26" s="122" customFormat="1" ht="15.75" hidden="1" customHeight="1">
      <c r="A22" s="95"/>
      <c r="B22" s="161"/>
      <c r="C22" s="55"/>
      <c r="D22" s="169"/>
      <c r="E22" s="105"/>
      <c r="F22" s="105"/>
      <c r="G22" s="74"/>
      <c r="H22" s="74"/>
      <c r="I22" s="74"/>
      <c r="J22" s="74"/>
      <c r="K22" s="74"/>
      <c r="L22" s="74"/>
      <c r="M22" s="134"/>
    </row>
    <row r="23" spans="1:26" s="101" customFormat="1" ht="15.75" customHeight="1">
      <c r="A23" s="95" t="s">
        <v>382</v>
      </c>
      <c r="B23" s="99"/>
      <c r="C23" s="55" t="s">
        <v>12</v>
      </c>
      <c r="D23" s="148" t="str">
        <f>IF(Variables!J72="","",Variables!J72)</f>
        <v/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5"/>
      <c r="U23" s="25"/>
      <c r="V23" s="25"/>
      <c r="W23" s="25"/>
      <c r="X23" s="25"/>
      <c r="Y23" s="25"/>
      <c r="Z23" s="25"/>
    </row>
    <row r="24" spans="1:26" ht="15.75" customHeight="1">
      <c r="A24" s="108"/>
      <c r="C24" s="112"/>
      <c r="D24" s="92"/>
      <c r="E24" s="92"/>
      <c r="F24" s="33"/>
      <c r="G24" s="33"/>
      <c r="H24" s="33"/>
      <c r="I24" s="33"/>
      <c r="J24" s="33"/>
      <c r="K24" s="33"/>
      <c r="L24" s="33"/>
      <c r="M24" s="33"/>
    </row>
    <row r="25" spans="1:26" ht="15.75" customHeight="1">
      <c r="A25" s="108"/>
      <c r="C25" s="53" t="s">
        <v>137</v>
      </c>
      <c r="D25" s="12"/>
      <c r="E25" s="34"/>
      <c r="F25" s="12"/>
      <c r="G25" s="12"/>
      <c r="H25" s="12"/>
      <c r="I25" s="12"/>
      <c r="J25" s="12"/>
      <c r="K25" s="33"/>
      <c r="L25" s="12"/>
      <c r="M25" s="12"/>
      <c r="N25" s="60"/>
      <c r="O25" s="60"/>
      <c r="P25" s="60"/>
      <c r="U25" s="81"/>
    </row>
    <row r="26" spans="1:26" ht="15.75" customHeight="1">
      <c r="A26" s="108" t="s">
        <v>352</v>
      </c>
      <c r="C26" s="55" t="s">
        <v>303</v>
      </c>
      <c r="D26" s="61" t="s">
        <v>239</v>
      </c>
      <c r="E26" s="34"/>
      <c r="F26" s="12"/>
      <c r="G26" s="12"/>
      <c r="H26" s="12"/>
      <c r="I26" s="12"/>
      <c r="J26" s="12"/>
      <c r="K26" s="33"/>
      <c r="L26" s="12"/>
      <c r="M26" s="12"/>
      <c r="N26" s="60"/>
      <c r="O26" s="60"/>
      <c r="P26" s="60"/>
      <c r="U26" s="81"/>
    </row>
    <row r="27" spans="1:26" ht="15.75" customHeight="1">
      <c r="A27" s="108" t="s">
        <v>138</v>
      </c>
      <c r="C27" s="55" t="s">
        <v>139</v>
      </c>
      <c r="D27" s="61" t="s">
        <v>106</v>
      </c>
      <c r="E27" s="12"/>
      <c r="F27" s="12"/>
      <c r="G27" s="12"/>
      <c r="H27" s="12"/>
      <c r="I27" s="12"/>
      <c r="J27" s="12"/>
      <c r="K27" s="12"/>
      <c r="L27" s="12"/>
      <c r="M27" s="70" t="s">
        <v>247</v>
      </c>
      <c r="N27" s="60"/>
      <c r="O27" s="60"/>
      <c r="P27" s="60"/>
      <c r="U27" s="81"/>
    </row>
    <row r="28" spans="1:26" ht="15.75" customHeight="1">
      <c r="A28" s="108" t="s">
        <v>419</v>
      </c>
      <c r="C28" s="55" t="s">
        <v>67</v>
      </c>
      <c r="D28" s="61" t="s">
        <v>402</v>
      </c>
      <c r="E28" s="12"/>
      <c r="F28" s="12"/>
      <c r="G28" s="12"/>
      <c r="H28" s="12"/>
      <c r="I28" s="12"/>
      <c r="J28" s="12"/>
      <c r="K28" s="12"/>
      <c r="L28" s="12"/>
      <c r="M28" s="70" t="s">
        <v>247</v>
      </c>
      <c r="N28" s="60"/>
      <c r="O28" s="60"/>
      <c r="P28" s="60"/>
      <c r="U28" s="81"/>
    </row>
    <row r="29" spans="1:26" ht="15.75" customHeight="1">
      <c r="A29" s="108"/>
      <c r="C29" s="112"/>
      <c r="D29" s="92"/>
      <c r="E29" s="92"/>
      <c r="F29" s="33"/>
      <c r="G29" s="33"/>
      <c r="H29" s="33"/>
      <c r="I29" s="33"/>
      <c r="J29" s="33"/>
      <c r="K29" s="33"/>
      <c r="L29" s="33"/>
      <c r="M29" s="33"/>
    </row>
    <row r="30" spans="1:26" ht="15.75" customHeight="1">
      <c r="A30" s="108"/>
      <c r="B30" s="27"/>
      <c r="C30" s="53" t="s">
        <v>248</v>
      </c>
      <c r="D30" s="12"/>
      <c r="E30" s="12"/>
      <c r="F30" s="12"/>
      <c r="G30" s="12"/>
      <c r="H30" s="12"/>
      <c r="I30" s="12"/>
      <c r="J30" s="12"/>
      <c r="K30" s="12"/>
      <c r="L30" s="12"/>
      <c r="M30" s="70"/>
      <c r="N30" s="60"/>
      <c r="O30" s="60"/>
      <c r="P30" s="60"/>
      <c r="U30" s="81"/>
    </row>
    <row r="31" spans="1:26" ht="15.75" customHeight="1">
      <c r="A31" s="108" t="s">
        <v>440</v>
      </c>
      <c r="B31" s="27"/>
      <c r="C31" s="55" t="s">
        <v>513</v>
      </c>
      <c r="D31" s="61" t="s">
        <v>18</v>
      </c>
      <c r="E31" s="111"/>
      <c r="G31" s="12"/>
      <c r="H31" s="12"/>
      <c r="I31" s="12"/>
      <c r="J31" s="12"/>
      <c r="K31" s="12"/>
      <c r="L31" s="12"/>
      <c r="M31" s="70" t="s">
        <v>247</v>
      </c>
      <c r="N31" s="60"/>
      <c r="O31" s="60"/>
      <c r="P31" s="60"/>
      <c r="U31" s="81"/>
    </row>
    <row r="32" spans="1:26" ht="15.75" customHeight="1">
      <c r="A32" s="108" t="s">
        <v>133</v>
      </c>
      <c r="B32" s="27"/>
      <c r="C32" s="55" t="s">
        <v>481</v>
      </c>
      <c r="D32" s="61" t="s">
        <v>586</v>
      </c>
      <c r="E32" s="111"/>
      <c r="G32" s="12"/>
      <c r="H32" s="12"/>
      <c r="I32" s="12"/>
      <c r="J32" s="12"/>
      <c r="K32" s="12"/>
      <c r="L32" s="12"/>
      <c r="M32" s="70" t="s">
        <v>247</v>
      </c>
      <c r="N32" s="60"/>
      <c r="O32" s="60"/>
      <c r="P32" s="60"/>
      <c r="U32" s="81"/>
    </row>
    <row r="33" spans="1:21" ht="15.75" customHeight="1">
      <c r="A33" s="108" t="s">
        <v>278</v>
      </c>
      <c r="B33" s="27"/>
      <c r="C33" s="55" t="s">
        <v>13</v>
      </c>
      <c r="D33" s="61" t="s">
        <v>586</v>
      </c>
      <c r="E33" s="111"/>
      <c r="G33" s="12"/>
      <c r="H33" s="12"/>
      <c r="I33" s="12"/>
      <c r="J33" s="12"/>
      <c r="K33" s="12"/>
      <c r="L33" s="12"/>
      <c r="M33" s="70" t="s">
        <v>247</v>
      </c>
      <c r="N33" s="60"/>
      <c r="O33" s="60"/>
      <c r="P33" s="60"/>
      <c r="U33" s="81"/>
    </row>
    <row r="34" spans="1:21" ht="15.75" customHeight="1">
      <c r="A34" s="108" t="s">
        <v>61</v>
      </c>
      <c r="B34" s="162"/>
      <c r="C34" s="55" t="s">
        <v>42</v>
      </c>
      <c r="D34" s="61"/>
      <c r="E34" s="154"/>
      <c r="G34" s="12"/>
      <c r="H34" s="12"/>
      <c r="I34" s="12"/>
      <c r="J34" s="12"/>
      <c r="K34" s="12"/>
      <c r="L34" s="12"/>
      <c r="M34" s="70" t="s">
        <v>247</v>
      </c>
      <c r="N34" s="60"/>
      <c r="O34" s="60"/>
      <c r="P34" s="60"/>
      <c r="U34" s="81"/>
    </row>
    <row r="35" spans="1:21" ht="15.75" customHeight="1">
      <c r="A35" s="108" t="s">
        <v>140</v>
      </c>
      <c r="B35" s="27"/>
      <c r="C35" s="55" t="s">
        <v>68</v>
      </c>
      <c r="D35" s="61"/>
      <c r="E35" s="111"/>
      <c r="G35" s="12"/>
      <c r="H35" s="12"/>
      <c r="I35" s="12"/>
      <c r="J35" s="12"/>
      <c r="K35" s="12"/>
      <c r="L35" s="12"/>
      <c r="M35" s="70"/>
      <c r="N35" s="60"/>
      <c r="O35" s="60"/>
      <c r="P35" s="60"/>
      <c r="U35" s="81"/>
    </row>
    <row r="36" spans="1:21" ht="15.75" customHeight="1">
      <c r="A36" s="108" t="s">
        <v>249</v>
      </c>
      <c r="B36" s="27"/>
      <c r="C36" s="55" t="s">
        <v>69</v>
      </c>
      <c r="D36" s="61"/>
      <c r="E36" s="111"/>
      <c r="G36" s="12"/>
      <c r="H36" s="12"/>
      <c r="I36" s="12"/>
      <c r="J36" s="12"/>
      <c r="K36" s="12"/>
      <c r="L36" s="12"/>
      <c r="M36" s="70"/>
      <c r="N36" s="60"/>
      <c r="O36" s="60"/>
      <c r="P36" s="60"/>
      <c r="U36" s="81"/>
    </row>
    <row r="37" spans="1:21" s="12" customFormat="1" ht="15.9" hidden="1" customHeight="1">
      <c r="A37" s="108" t="s">
        <v>409</v>
      </c>
      <c r="B37" s="27"/>
      <c r="C37" s="55" t="s">
        <v>97</v>
      </c>
      <c r="D37" s="27" t="s">
        <v>219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21" s="12" customFormat="1" ht="15.9" hidden="1" customHeight="1">
      <c r="A38" s="108" t="s">
        <v>470</v>
      </c>
      <c r="B38" s="27"/>
      <c r="C38" s="55" t="s">
        <v>70</v>
      </c>
      <c r="D38" s="27" t="s">
        <v>239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1" s="12" customFormat="1" ht="15.9" customHeight="1">
      <c r="A39" s="108"/>
      <c r="B39" s="27"/>
      <c r="C39" s="109"/>
      <c r="D39" s="10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21" ht="15.75" customHeight="1">
      <c r="A40" s="108"/>
      <c r="C40" s="53" t="s">
        <v>482</v>
      </c>
      <c r="D40" s="12"/>
      <c r="E40" s="34"/>
      <c r="F40" s="12"/>
      <c r="G40" s="12"/>
      <c r="H40" s="12"/>
      <c r="I40" s="12"/>
      <c r="J40" s="12"/>
      <c r="K40" s="33"/>
      <c r="L40" s="12"/>
      <c r="M40" s="12"/>
      <c r="N40" s="60"/>
      <c r="O40" s="60"/>
      <c r="P40" s="60"/>
      <c r="U40" s="81"/>
    </row>
    <row r="41" spans="1:21" ht="15.75" customHeight="1">
      <c r="A41" s="108" t="s">
        <v>43</v>
      </c>
      <c r="C41" s="55" t="s">
        <v>449</v>
      </c>
      <c r="D41" s="61" t="s">
        <v>383</v>
      </c>
      <c r="E41" s="12"/>
      <c r="F41" s="12"/>
      <c r="G41" s="12"/>
      <c r="H41" s="12"/>
      <c r="I41" s="12"/>
      <c r="J41" s="12"/>
      <c r="K41" s="12"/>
      <c r="L41" s="12"/>
      <c r="M41" s="70" t="s">
        <v>247</v>
      </c>
      <c r="N41" s="60"/>
      <c r="O41" s="60"/>
      <c r="P41" s="60"/>
      <c r="U41" s="81"/>
    </row>
    <row r="42" spans="1:21" ht="15.75" customHeight="1">
      <c r="A42" s="108" t="s">
        <v>514</v>
      </c>
      <c r="C42" s="55" t="s">
        <v>420</v>
      </c>
      <c r="D42" s="61" t="s">
        <v>147</v>
      </c>
      <c r="E42" s="12"/>
      <c r="F42" s="12"/>
      <c r="G42" s="12"/>
      <c r="H42" s="12"/>
      <c r="I42" s="12"/>
      <c r="J42" s="12"/>
      <c r="K42" s="12"/>
      <c r="L42" s="12"/>
      <c r="M42" s="70" t="s">
        <v>247</v>
      </c>
      <c r="N42" s="60"/>
      <c r="O42" s="60"/>
      <c r="P42" s="60"/>
      <c r="U42" s="81"/>
    </row>
    <row r="43" spans="1:21" ht="15.75" customHeight="1">
      <c r="A43" s="108"/>
      <c r="B43" s="27"/>
      <c r="C43" s="67"/>
      <c r="D43" s="12"/>
      <c r="E43" s="12"/>
      <c r="F43" s="12"/>
      <c r="G43" s="12"/>
      <c r="H43" s="12"/>
      <c r="I43" s="12"/>
      <c r="J43" s="12"/>
      <c r="K43" s="12"/>
      <c r="L43" s="12"/>
      <c r="M43" s="70"/>
      <c r="N43" s="60"/>
      <c r="O43" s="60"/>
      <c r="P43" s="60"/>
      <c r="U43" s="81"/>
    </row>
    <row r="44" spans="1:21" ht="15.75" customHeight="1">
      <c r="A44" s="108"/>
      <c r="C44" s="53" t="s">
        <v>450</v>
      </c>
      <c r="D44" s="12"/>
      <c r="E44" s="34"/>
      <c r="F44" s="12"/>
      <c r="G44" s="12"/>
      <c r="H44" s="12"/>
      <c r="I44" s="12"/>
      <c r="J44" s="12"/>
      <c r="K44" s="33"/>
      <c r="L44" s="12"/>
      <c r="M44" s="12"/>
      <c r="N44" s="60"/>
      <c r="O44" s="60"/>
      <c r="P44" s="60"/>
      <c r="U44" s="81"/>
    </row>
    <row r="45" spans="1:21" ht="15.75" customHeight="1">
      <c r="A45" s="108" t="s">
        <v>250</v>
      </c>
      <c r="C45" s="55" t="s">
        <v>220</v>
      </c>
      <c r="D45" s="61" t="s">
        <v>516</v>
      </c>
      <c r="E45" s="12"/>
      <c r="F45" s="12"/>
      <c r="G45" s="12"/>
      <c r="H45" s="12"/>
      <c r="I45" s="12"/>
      <c r="J45" s="12"/>
      <c r="K45" s="12"/>
      <c r="L45" s="12"/>
      <c r="M45" s="70" t="s">
        <v>247</v>
      </c>
      <c r="N45" s="60"/>
      <c r="O45" s="60"/>
      <c r="P45" s="60"/>
      <c r="U45" s="81"/>
    </row>
    <row r="46" spans="1:21" ht="15.75" customHeight="1">
      <c r="A46" s="108" t="s">
        <v>141</v>
      </c>
      <c r="C46" s="55" t="s">
        <v>517</v>
      </c>
      <c r="D46" s="61" t="s">
        <v>239</v>
      </c>
      <c r="E46" s="12"/>
      <c r="F46" s="12"/>
      <c r="G46" s="12"/>
      <c r="H46" s="12"/>
      <c r="I46" s="12"/>
      <c r="J46" s="12"/>
      <c r="K46" s="12"/>
      <c r="L46" s="12"/>
      <c r="M46" s="70"/>
      <c r="N46" s="60"/>
      <c r="O46" s="60"/>
      <c r="P46" s="60"/>
      <c r="U46" s="81"/>
    </row>
    <row r="47" spans="1:21" ht="15.75" customHeight="1">
      <c r="A47" s="108"/>
      <c r="B47" s="27"/>
      <c r="C47" s="67"/>
      <c r="D47" s="12"/>
      <c r="E47" s="12"/>
      <c r="F47" s="12"/>
      <c r="G47" s="12"/>
      <c r="H47" s="12"/>
      <c r="I47" s="12"/>
      <c r="J47" s="12"/>
      <c r="K47" s="12"/>
      <c r="L47" s="12"/>
      <c r="M47" s="70"/>
      <c r="N47" s="60"/>
      <c r="O47" s="60"/>
      <c r="P47" s="60"/>
      <c r="U47" s="81"/>
    </row>
    <row r="48" spans="1:21" ht="15.75" customHeight="1">
      <c r="A48" s="108"/>
      <c r="B48" s="27"/>
      <c r="C48" s="53" t="s">
        <v>451</v>
      </c>
      <c r="D48" s="12"/>
      <c r="E48" s="34"/>
      <c r="F48" s="12"/>
      <c r="G48" s="12"/>
      <c r="H48" s="12"/>
      <c r="I48" s="12"/>
      <c r="J48" s="12"/>
      <c r="K48" s="33"/>
      <c r="L48" s="12"/>
      <c r="M48" s="12"/>
      <c r="N48" s="60"/>
      <c r="O48" s="60"/>
      <c r="P48" s="60"/>
      <c r="U48" s="81"/>
    </row>
    <row r="49" spans="1:21" ht="15.75" customHeight="1">
      <c r="A49" s="108" t="s">
        <v>304</v>
      </c>
      <c r="C49" s="55" t="s">
        <v>14</v>
      </c>
      <c r="D49" s="61" t="s">
        <v>78</v>
      </c>
      <c r="E49" s="12"/>
      <c r="F49" s="12"/>
      <c r="G49" s="12"/>
      <c r="H49" s="12"/>
      <c r="I49" s="12"/>
      <c r="J49" s="12"/>
      <c r="K49" s="12"/>
      <c r="L49" s="12"/>
      <c r="M49" s="70" t="s">
        <v>247</v>
      </c>
      <c r="N49" s="60"/>
      <c r="O49" s="60"/>
      <c r="P49" s="60"/>
      <c r="U49" s="81"/>
    </row>
    <row r="50" spans="1:21" ht="15.75" customHeight="1">
      <c r="A50" s="108" t="s">
        <v>251</v>
      </c>
      <c r="C50" s="55" t="s">
        <v>483</v>
      </c>
      <c r="D50" s="61" t="s">
        <v>259</v>
      </c>
      <c r="E50" s="12"/>
      <c r="F50" s="12"/>
      <c r="G50" s="12"/>
      <c r="H50" s="12"/>
      <c r="I50" s="12"/>
      <c r="J50" s="12"/>
      <c r="K50" s="12"/>
      <c r="L50" s="12"/>
      <c r="M50" s="70" t="s">
        <v>247</v>
      </c>
      <c r="N50" s="60"/>
      <c r="O50" s="60"/>
      <c r="P50" s="60"/>
      <c r="U50" s="81"/>
    </row>
    <row r="51" spans="1:21" ht="15.75" customHeight="1">
      <c r="A51" s="108" t="s">
        <v>221</v>
      </c>
      <c r="C51" s="55" t="s">
        <v>484</v>
      </c>
      <c r="D51" s="61" t="str">
        <f>IF(D50="Axiom Repository",Variables!$I$37,Variables!$I$38)</f>
        <v>\Axiom\Reports Library\Management Reporting Utilities\Report Distribution\SourceFiles</v>
      </c>
      <c r="E51" s="12"/>
      <c r="F51" s="12"/>
      <c r="G51" s="12"/>
      <c r="H51" s="12"/>
      <c r="I51" s="12"/>
      <c r="J51" s="12"/>
      <c r="K51" s="12"/>
      <c r="L51" s="12"/>
      <c r="M51" s="70" t="s">
        <v>247</v>
      </c>
      <c r="N51" s="60"/>
      <c r="O51" s="60"/>
      <c r="P51" s="60"/>
      <c r="U51" s="81"/>
    </row>
    <row r="52" spans="1:21" ht="15.75" customHeight="1">
      <c r="A52" s="108" t="s">
        <v>142</v>
      </c>
      <c r="C52" s="55" t="s">
        <v>44</v>
      </c>
      <c r="D52" s="61" t="s">
        <v>53</v>
      </c>
      <c r="E52" s="12"/>
      <c r="F52" s="12"/>
      <c r="G52" s="12"/>
      <c r="H52" s="12"/>
      <c r="I52" s="12"/>
      <c r="J52" s="12"/>
      <c r="K52" s="12"/>
      <c r="L52" s="12"/>
      <c r="M52" s="70" t="s">
        <v>247</v>
      </c>
      <c r="N52" s="60"/>
      <c r="O52" s="60"/>
      <c r="P52" s="60"/>
      <c r="U52" s="81"/>
    </row>
    <row r="53" spans="1:21" ht="15.75" customHeight="1">
      <c r="A53" s="108" t="s">
        <v>143</v>
      </c>
      <c r="C53" s="55" t="s">
        <v>518</v>
      </c>
      <c r="D53" s="61" t="s">
        <v>426</v>
      </c>
      <c r="E53" s="12"/>
      <c r="F53" s="12"/>
      <c r="G53" s="12"/>
      <c r="H53" s="12"/>
      <c r="I53" s="12"/>
      <c r="J53" s="12"/>
      <c r="K53" s="12"/>
      <c r="L53" s="12"/>
      <c r="M53" s="70" t="s">
        <v>247</v>
      </c>
      <c r="N53" s="60"/>
      <c r="O53" s="60"/>
      <c r="P53" s="60"/>
      <c r="U53" s="81"/>
    </row>
    <row r="54" spans="1:21" ht="15.75" customHeight="1">
      <c r="A54" s="108" t="s">
        <v>485</v>
      </c>
      <c r="C54" s="55" t="s">
        <v>252</v>
      </c>
      <c r="D54" s="61" t="s">
        <v>384</v>
      </c>
      <c r="E54" s="12"/>
      <c r="F54" s="12"/>
      <c r="G54" s="12"/>
      <c r="H54" s="12"/>
      <c r="I54" s="12"/>
      <c r="J54" s="12"/>
      <c r="K54" s="12"/>
      <c r="L54" s="12"/>
      <c r="M54" s="70"/>
      <c r="N54" s="60"/>
      <c r="O54" s="60"/>
      <c r="P54" s="60"/>
      <c r="U54" s="81"/>
    </row>
    <row r="55" spans="1:21" ht="15.75" customHeight="1">
      <c r="A55" s="108" t="s">
        <v>305</v>
      </c>
      <c r="C55" s="55" t="s">
        <v>486</v>
      </c>
      <c r="D55" s="61" t="s">
        <v>148</v>
      </c>
      <c r="E55" s="12"/>
      <c r="F55" s="12"/>
      <c r="G55" s="12"/>
      <c r="H55" s="12"/>
      <c r="I55" s="12"/>
      <c r="J55" s="12"/>
      <c r="K55" s="12"/>
      <c r="L55" s="12"/>
      <c r="M55" s="70"/>
      <c r="N55" s="60"/>
      <c r="O55" s="60"/>
      <c r="P55" s="60"/>
      <c r="U55" s="81"/>
    </row>
    <row r="56" spans="1:21" ht="15.75" customHeight="1">
      <c r="A56" s="108" t="s">
        <v>285</v>
      </c>
      <c r="C56" s="55" t="s">
        <v>45</v>
      </c>
      <c r="D56" s="61" t="s">
        <v>402</v>
      </c>
      <c r="E56" s="12"/>
      <c r="F56" s="12"/>
      <c r="G56" s="12"/>
      <c r="H56" s="12"/>
      <c r="I56" s="12"/>
      <c r="J56" s="12"/>
      <c r="K56" s="12"/>
      <c r="L56" s="12"/>
      <c r="M56" s="70"/>
      <c r="N56" s="60"/>
      <c r="O56" s="60"/>
      <c r="P56" s="60"/>
      <c r="U56" s="81"/>
    </row>
    <row r="57" spans="1:21" ht="15.75" customHeight="1">
      <c r="A57" s="108"/>
      <c r="B57" s="27"/>
      <c r="C57" s="67"/>
      <c r="D57" s="12"/>
      <c r="E57" s="12"/>
      <c r="F57" s="12"/>
      <c r="G57" s="12"/>
      <c r="H57" s="12"/>
      <c r="I57" s="12"/>
      <c r="J57" s="12"/>
      <c r="K57" s="12"/>
      <c r="L57" s="12"/>
      <c r="M57" s="70"/>
      <c r="N57" s="60"/>
      <c r="O57" s="60"/>
      <c r="P57" s="60"/>
      <c r="U57" s="81"/>
    </row>
    <row r="58" spans="1:21" ht="15.75" customHeight="1">
      <c r="A58" s="108"/>
      <c r="C58" s="53" t="s">
        <v>102</v>
      </c>
      <c r="D58" s="12"/>
      <c r="E58" s="34"/>
      <c r="F58" s="12"/>
      <c r="G58" s="12"/>
      <c r="H58" s="12"/>
      <c r="I58" s="12"/>
      <c r="J58" s="12"/>
      <c r="K58" s="33"/>
      <c r="L58" s="12"/>
      <c r="M58" s="12"/>
      <c r="N58" s="60"/>
      <c r="O58" s="60"/>
      <c r="P58" s="60"/>
      <c r="U58" s="81"/>
    </row>
    <row r="59" spans="1:21" ht="15.75" customHeight="1">
      <c r="A59" s="108" t="s">
        <v>71</v>
      </c>
      <c r="C59" s="55" t="s">
        <v>72</v>
      </c>
      <c r="D59" s="61" t="s">
        <v>488</v>
      </c>
      <c r="E59" s="12"/>
      <c r="F59" s="12"/>
      <c r="G59" s="12"/>
      <c r="H59" s="12"/>
      <c r="I59" s="12"/>
      <c r="J59" s="12"/>
      <c r="K59" s="12"/>
      <c r="L59" s="12"/>
      <c r="M59" s="70" t="s">
        <v>247</v>
      </c>
      <c r="N59" s="60"/>
      <c r="O59" s="60"/>
      <c r="P59" s="60"/>
      <c r="U59" s="81"/>
    </row>
    <row r="60" spans="1:21" ht="15.75" customHeight="1">
      <c r="A60" s="108" t="s">
        <v>226</v>
      </c>
      <c r="C60" s="55" t="s">
        <v>21</v>
      </c>
      <c r="D60" s="61" t="s">
        <v>539</v>
      </c>
      <c r="E60" s="12"/>
      <c r="F60" s="12"/>
      <c r="G60" s="12"/>
      <c r="H60" s="12"/>
      <c r="I60" s="12"/>
      <c r="J60" s="12"/>
      <c r="K60" s="12"/>
      <c r="L60" s="12"/>
      <c r="M60" s="70"/>
      <c r="N60" s="60"/>
      <c r="O60" s="60"/>
      <c r="P60" s="60"/>
      <c r="U60" s="81"/>
    </row>
    <row r="61" spans="1:21" ht="15.75" customHeight="1">
      <c r="A61" s="108" t="s">
        <v>421</v>
      </c>
      <c r="C61" s="55" t="s">
        <v>286</v>
      </c>
      <c r="D61" s="61"/>
      <c r="E61" s="12"/>
      <c r="F61" s="12"/>
      <c r="G61" s="12"/>
      <c r="H61" s="12"/>
      <c r="I61" s="12"/>
      <c r="J61" s="12"/>
      <c r="K61" s="12"/>
      <c r="L61" s="12"/>
      <c r="M61" s="70"/>
      <c r="N61" s="60"/>
      <c r="O61" s="60"/>
      <c r="P61" s="60"/>
      <c r="U61" s="81"/>
    </row>
    <row r="62" spans="1:21" ht="15.75" customHeight="1">
      <c r="A62" s="108" t="s">
        <v>73</v>
      </c>
      <c r="C62" s="55" t="s">
        <v>15</v>
      </c>
      <c r="D62" s="61"/>
      <c r="E62" s="12"/>
      <c r="F62" s="12"/>
      <c r="G62" s="12"/>
      <c r="H62" s="12"/>
      <c r="I62" s="12"/>
      <c r="J62" s="12"/>
      <c r="K62" s="12"/>
      <c r="L62" s="12"/>
      <c r="M62" s="70" t="s">
        <v>247</v>
      </c>
      <c r="N62" s="60"/>
      <c r="O62" s="60"/>
      <c r="P62" s="60"/>
      <c r="U62" s="81"/>
    </row>
    <row r="63" spans="1:21" ht="15.75" customHeight="1">
      <c r="A63" s="108" t="s">
        <v>385</v>
      </c>
      <c r="C63" s="55" t="s">
        <v>422</v>
      </c>
      <c r="D63" s="61"/>
      <c r="E63" s="12"/>
      <c r="F63" s="12"/>
      <c r="G63" s="12"/>
      <c r="H63" s="12"/>
      <c r="I63" s="12"/>
      <c r="J63" s="12"/>
      <c r="K63" s="12"/>
      <c r="L63" s="12"/>
      <c r="M63" s="70"/>
      <c r="N63" s="60"/>
      <c r="O63" s="60"/>
      <c r="P63" s="60"/>
      <c r="U63" s="81"/>
    </row>
    <row r="64" spans="1:21" ht="15.75" customHeight="1">
      <c r="A64" s="108"/>
      <c r="B64" s="27"/>
      <c r="C64" s="67"/>
      <c r="D64" s="12"/>
      <c r="E64" s="12"/>
      <c r="F64" s="12"/>
      <c r="G64" s="12"/>
      <c r="H64" s="12"/>
      <c r="I64" s="12"/>
      <c r="J64" s="12"/>
      <c r="K64" s="12"/>
      <c r="L64" s="12"/>
      <c r="M64" s="70"/>
      <c r="N64" s="60"/>
      <c r="O64" s="60"/>
      <c r="P64" s="60"/>
      <c r="U64" s="81"/>
    </row>
    <row r="65" spans="1:26" ht="15.75" customHeight="1">
      <c r="A65" s="108"/>
      <c r="C65" s="53" t="s">
        <v>74</v>
      </c>
      <c r="D65" s="12"/>
      <c r="E65" s="34"/>
      <c r="F65" s="12"/>
      <c r="G65" s="12"/>
      <c r="H65" s="12"/>
      <c r="I65" s="12"/>
      <c r="J65" s="12"/>
      <c r="K65" s="33"/>
      <c r="L65" s="12"/>
      <c r="M65" s="12"/>
      <c r="N65" s="60"/>
      <c r="O65" s="60"/>
      <c r="P65" s="60"/>
      <c r="U65" s="81"/>
    </row>
    <row r="66" spans="1:26" ht="15.75" customHeight="1">
      <c r="A66" s="108" t="s">
        <v>144</v>
      </c>
      <c r="C66" s="55" t="s">
        <v>185</v>
      </c>
      <c r="D66" s="61"/>
      <c r="E66" s="12"/>
      <c r="F66" s="12"/>
      <c r="G66" s="12"/>
      <c r="H66" s="12"/>
      <c r="I66" s="12"/>
      <c r="J66" s="12"/>
      <c r="K66" s="12"/>
      <c r="L66" s="12"/>
      <c r="M66" s="70" t="s">
        <v>247</v>
      </c>
      <c r="N66" s="60"/>
      <c r="O66" s="60"/>
      <c r="P66" s="60"/>
      <c r="U66" s="81"/>
    </row>
    <row r="67" spans="1:26" ht="15.75" customHeight="1">
      <c r="A67" s="108" t="s">
        <v>103</v>
      </c>
      <c r="C67" s="55" t="s">
        <v>46</v>
      </c>
      <c r="D67" s="61"/>
      <c r="E67" s="12"/>
      <c r="F67" s="12"/>
      <c r="G67" s="12"/>
      <c r="H67" s="12"/>
      <c r="I67" s="12"/>
      <c r="J67" s="12"/>
      <c r="K67" s="12"/>
      <c r="L67" s="12"/>
      <c r="M67" s="70" t="s">
        <v>247</v>
      </c>
      <c r="N67" s="60"/>
      <c r="O67" s="60"/>
      <c r="P67" s="60"/>
      <c r="U67" s="81"/>
    </row>
    <row r="68" spans="1:26" ht="15.75" customHeight="1">
      <c r="A68" s="108"/>
      <c r="B68" s="27"/>
      <c r="C68" s="67"/>
      <c r="D68" s="12"/>
      <c r="E68" s="12"/>
      <c r="F68" s="12"/>
      <c r="G68" s="12"/>
      <c r="H68" s="12"/>
      <c r="I68" s="12"/>
      <c r="J68" s="12"/>
      <c r="K68" s="12"/>
      <c r="L68" s="12"/>
      <c r="M68" s="70"/>
      <c r="N68" s="60"/>
      <c r="O68" s="60"/>
      <c r="P68" s="60"/>
      <c r="U68" s="81"/>
    </row>
    <row r="69" spans="1:26" ht="15.75" customHeight="1">
      <c r="A69" s="108"/>
      <c r="B69" s="27"/>
      <c r="C69" s="53" t="s">
        <v>16</v>
      </c>
      <c r="D69" s="12"/>
      <c r="E69" s="34"/>
      <c r="F69" s="12"/>
    </row>
    <row r="70" spans="1:26" s="81" customFormat="1" ht="15.75" customHeight="1">
      <c r="A70" s="108" t="s">
        <v>423</v>
      </c>
      <c r="B70" s="12"/>
      <c r="C70" s="55" t="s">
        <v>386</v>
      </c>
      <c r="D70" s="61"/>
      <c r="E70" s="12"/>
      <c r="F70" s="12"/>
      <c r="G70" s="34"/>
      <c r="H70" s="34"/>
      <c r="I70" s="34"/>
      <c r="J70" s="34"/>
      <c r="K70" s="34"/>
      <c r="L70" s="34"/>
      <c r="M70" s="110"/>
    </row>
    <row r="71" spans="1:26" s="81" customFormat="1" ht="15.75" customHeight="1">
      <c r="A71" s="108" t="s">
        <v>353</v>
      </c>
      <c r="B71" s="12"/>
      <c r="C71" s="55" t="s">
        <v>75</v>
      </c>
      <c r="D71" s="61"/>
      <c r="E71" s="12"/>
      <c r="F71" s="12"/>
      <c r="G71" s="34"/>
      <c r="H71" s="34"/>
      <c r="I71" s="34"/>
      <c r="J71" s="34"/>
      <c r="K71" s="34"/>
      <c r="L71" s="34"/>
      <c r="M71" s="110"/>
    </row>
    <row r="72" spans="1:26" s="81" customFormat="1" ht="15.75" customHeight="1">
      <c r="A72" s="108" t="s">
        <v>145</v>
      </c>
      <c r="B72" s="12"/>
      <c r="C72" s="55" t="s">
        <v>254</v>
      </c>
      <c r="D72" s="61" t="s">
        <v>104</v>
      </c>
      <c r="E72" s="12"/>
      <c r="F72" s="12"/>
      <c r="G72" s="34"/>
      <c r="H72" s="34"/>
      <c r="I72" s="34"/>
      <c r="J72" s="34"/>
      <c r="K72" s="34"/>
      <c r="L72" s="34"/>
      <c r="M72" s="110"/>
    </row>
    <row r="73" spans="1:26" s="81" customFormat="1" ht="15.75" customHeight="1">
      <c r="A73" s="108" t="s">
        <v>146</v>
      </c>
      <c r="B73" s="12"/>
      <c r="C73" s="55" t="s">
        <v>519</v>
      </c>
      <c r="D73" s="61"/>
      <c r="E73" s="12"/>
      <c r="F73" s="12"/>
      <c r="G73" s="34"/>
      <c r="H73" s="34"/>
      <c r="I73" s="34"/>
      <c r="J73" s="34"/>
      <c r="K73" s="34"/>
      <c r="L73" s="34"/>
      <c r="M73" s="110"/>
    </row>
    <row r="74" spans="1:26" s="81" customFormat="1" ht="71.099999999999994" customHeight="1">
      <c r="A74" s="108" t="s">
        <v>306</v>
      </c>
      <c r="B74" s="12"/>
      <c r="C74" s="55" t="s">
        <v>520</v>
      </c>
      <c r="D74" s="126"/>
      <c r="E74" s="12"/>
      <c r="F74" s="12"/>
      <c r="G74" s="34"/>
      <c r="H74" s="34"/>
      <c r="I74" s="34"/>
      <c r="J74" s="34"/>
      <c r="K74" s="34"/>
      <c r="L74" s="34"/>
      <c r="M74" s="110"/>
    </row>
    <row r="75" spans="1:26" s="81" customFormat="1" ht="15.75" customHeight="1">
      <c r="A75" s="108"/>
      <c r="B75" s="27"/>
      <c r="C75" s="67"/>
      <c r="D75" s="12"/>
      <c r="E75" s="12"/>
      <c r="F75" s="12"/>
      <c r="G75" s="34"/>
      <c r="H75" s="34"/>
      <c r="I75" s="34"/>
      <c r="J75" s="34"/>
      <c r="K75" s="34"/>
      <c r="L75" s="34"/>
      <c r="M75" s="110"/>
    </row>
    <row r="76" spans="1:26" s="81" customFormat="1" ht="15.75" customHeight="1">
      <c r="A76" s="108"/>
      <c r="B76" s="27"/>
      <c r="C76" s="53" t="s">
        <v>223</v>
      </c>
      <c r="D76" s="12"/>
      <c r="E76" s="12"/>
      <c r="F76" s="12"/>
      <c r="G76" s="34"/>
      <c r="H76" s="34"/>
      <c r="I76" s="34"/>
      <c r="J76" s="34"/>
      <c r="K76" s="34"/>
      <c r="L76" s="34"/>
      <c r="M76" s="110"/>
    </row>
    <row r="77" spans="1:26" s="101" customFormat="1" ht="15.75" customHeight="1">
      <c r="A77" s="95" t="s">
        <v>452</v>
      </c>
      <c r="B77" s="99"/>
      <c r="C77" s="55" t="s">
        <v>521</v>
      </c>
      <c r="D77" s="17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s="101" customFormat="1" ht="15.75" customHeight="1">
      <c r="A78" s="95" t="s">
        <v>287</v>
      </c>
      <c r="B78" s="99"/>
      <c r="C78" s="55" t="s">
        <v>307</v>
      </c>
      <c r="D78" s="17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117"/>
      <c r="B79" s="27"/>
      <c r="D79" s="152"/>
    </row>
    <row r="80" spans="1:26">
      <c r="A80" s="100"/>
      <c r="B80" s="27"/>
      <c r="D80" s="28"/>
      <c r="E80" s="28"/>
      <c r="F80" s="51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>
      <c r="A81" s="104"/>
      <c r="C81" s="106"/>
      <c r="D81" s="137"/>
      <c r="E81" s="66"/>
      <c r="F81" s="51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>
      <c r="A82" s="104"/>
      <c r="B82" s="27"/>
      <c r="C82" s="106"/>
      <c r="D82" s="51"/>
      <c r="E82" s="59" t="s">
        <v>424</v>
      </c>
      <c r="F82" s="59" t="s">
        <v>308</v>
      </c>
      <c r="G82" s="59" t="s">
        <v>255</v>
      </c>
      <c r="H82" s="59" t="s">
        <v>309</v>
      </c>
      <c r="I82" s="59" t="s">
        <v>522</v>
      </c>
      <c r="J82" s="59" t="s">
        <v>288</v>
      </c>
      <c r="K82" s="59" t="s">
        <v>487</v>
      </c>
      <c r="L82" s="59" t="s">
        <v>17</v>
      </c>
      <c r="M82" s="59" t="s">
        <v>47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>
      <c r="A83" s="104"/>
      <c r="B83" s="27"/>
      <c r="C83" s="106"/>
      <c r="D83" s="51"/>
      <c r="E83" s="59" t="s">
        <v>383</v>
      </c>
      <c r="F83" s="59" t="s">
        <v>488</v>
      </c>
      <c r="G83" s="59" t="s">
        <v>246</v>
      </c>
      <c r="H83" s="59" t="s">
        <v>253</v>
      </c>
      <c r="I83" s="59" t="s">
        <v>384</v>
      </c>
      <c r="J83" s="59" t="s">
        <v>516</v>
      </c>
      <c r="K83" s="59" t="s">
        <v>104</v>
      </c>
      <c r="L83" s="59" t="s">
        <v>147</v>
      </c>
      <c r="M83" s="59" t="s">
        <v>402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>
      <c r="A84" s="104"/>
      <c r="B84" s="27"/>
      <c r="C84" s="106"/>
      <c r="D84" s="51"/>
      <c r="E84" s="59" t="s">
        <v>489</v>
      </c>
      <c r="F84" s="59" t="s">
        <v>222</v>
      </c>
      <c r="G84" s="59" t="s">
        <v>310</v>
      </c>
      <c r="H84" s="59" t="s">
        <v>148</v>
      </c>
      <c r="I84" s="59" t="s">
        <v>256</v>
      </c>
      <c r="J84" s="59" t="s">
        <v>257</v>
      </c>
      <c r="K84" s="59" t="s">
        <v>258</v>
      </c>
      <c r="L84" s="59" t="s">
        <v>515</v>
      </c>
      <c r="M84" s="59" t="s">
        <v>239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>
      <c r="A85" s="104"/>
      <c r="B85" s="27"/>
      <c r="C85" s="106"/>
      <c r="D85" s="51"/>
      <c r="E85" s="59" t="s">
        <v>224</v>
      </c>
      <c r="F85" s="59" t="s">
        <v>105</v>
      </c>
      <c r="G85" s="59" t="s">
        <v>106</v>
      </c>
      <c r="H85" s="59"/>
      <c r="I85" s="59" t="s">
        <v>186</v>
      </c>
      <c r="J85" s="59" t="s">
        <v>107</v>
      </c>
      <c r="K85" s="59"/>
      <c r="L85" s="59"/>
      <c r="M85" s="59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>
      <c r="A86" s="104"/>
      <c r="B86" s="27"/>
      <c r="C86" s="106"/>
      <c r="D86" s="51"/>
      <c r="E86" s="59" t="s">
        <v>523</v>
      </c>
      <c r="F86" s="59"/>
      <c r="G86" s="59" t="s">
        <v>108</v>
      </c>
      <c r="H86" s="59"/>
      <c r="I86" s="59"/>
      <c r="J86" s="59" t="s">
        <v>149</v>
      </c>
      <c r="K86" s="59"/>
      <c r="L86" s="59"/>
      <c r="M86" s="59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>
      <c r="A87" s="104"/>
      <c r="B87" s="27"/>
      <c r="C87" s="106"/>
      <c r="D87" s="51"/>
      <c r="E87" s="59"/>
      <c r="F87" s="59"/>
      <c r="G87" s="59" t="s">
        <v>289</v>
      </c>
      <c r="H87" s="59"/>
      <c r="I87" s="59"/>
      <c r="J87" s="59" t="s">
        <v>311</v>
      </c>
      <c r="K87" s="59"/>
      <c r="L87" s="59"/>
      <c r="M87" s="59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>
      <c r="A88" s="104"/>
      <c r="B88" s="27"/>
      <c r="C88" s="106"/>
      <c r="D88" s="51"/>
      <c r="E88" s="59"/>
      <c r="F88" s="59"/>
      <c r="G88" s="59" t="s">
        <v>150</v>
      </c>
      <c r="H88" s="59"/>
      <c r="I88" s="59"/>
      <c r="J88" s="59" t="s">
        <v>311</v>
      </c>
      <c r="K88" s="59"/>
      <c r="L88" s="59"/>
      <c r="M88" s="59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>
      <c r="A89" s="104"/>
      <c r="B89" s="27"/>
      <c r="C89" s="106"/>
      <c r="D89" s="51"/>
      <c r="E89" s="59"/>
      <c r="F89" s="59"/>
      <c r="G89" s="59"/>
      <c r="H89" s="59"/>
      <c r="I89" s="59"/>
      <c r="J89" s="59" t="s">
        <v>187</v>
      </c>
      <c r="K89" s="59"/>
      <c r="L89" s="59"/>
      <c r="M89" s="59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>
      <c r="A90" s="104"/>
      <c r="B90" s="27"/>
      <c r="C90" s="106"/>
      <c r="D90" s="51"/>
      <c r="E90" s="59"/>
      <c r="F90" s="59"/>
      <c r="G90" s="59"/>
      <c r="H90" s="59"/>
      <c r="I90" s="59"/>
      <c r="J90" s="59" t="s">
        <v>490</v>
      </c>
      <c r="K90" s="59"/>
      <c r="L90" s="59"/>
      <c r="M90" s="59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>
      <c r="A91" s="104"/>
      <c r="B91" s="27"/>
      <c r="C91" s="106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>
      <c r="A92" s="100"/>
      <c r="B92" s="27"/>
      <c r="D92" s="28"/>
      <c r="E92" s="28"/>
      <c r="F92" s="66"/>
      <c r="G92" s="66"/>
      <c r="H92" s="66"/>
      <c r="I92" s="66"/>
      <c r="J92" s="66"/>
      <c r="K92" s="66"/>
      <c r="L92" s="66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>
      <c r="A93" s="117"/>
      <c r="B93" s="27"/>
      <c r="D93" s="28"/>
      <c r="E93" s="28"/>
      <c r="F93" s="66"/>
      <c r="G93" s="66"/>
      <c r="H93" s="66"/>
      <c r="I93" s="66"/>
      <c r="J93" s="66"/>
      <c r="K93" s="66"/>
      <c r="L93" s="66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>
      <c r="B94" s="27"/>
      <c r="D94" s="28"/>
      <c r="E94" s="28"/>
      <c r="F94" s="66"/>
      <c r="G94" s="66"/>
      <c r="H94" s="66"/>
      <c r="I94" s="66"/>
      <c r="J94" s="66"/>
      <c r="K94" s="66"/>
      <c r="L94" s="66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>
      <c r="B95" s="27"/>
      <c r="D95" s="28"/>
      <c r="E95" s="28"/>
      <c r="F95" s="66"/>
      <c r="G95" s="66"/>
      <c r="H95" s="66"/>
      <c r="I95" s="66"/>
      <c r="J95" s="66"/>
      <c r="K95" s="66"/>
      <c r="L95" s="6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>
      <c r="B96" s="27"/>
      <c r="D96" s="28"/>
      <c r="E96" s="28"/>
      <c r="F96" s="66"/>
      <c r="G96" s="66"/>
      <c r="H96" s="66"/>
      <c r="I96" s="66"/>
      <c r="J96" s="66"/>
      <c r="K96" s="66"/>
      <c r="L96" s="66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>
      <c r="B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>
      <c r="B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>
      <c r="B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>
      <c r="B100" s="27"/>
    </row>
    <row r="101" spans="1:23">
      <c r="B101" s="27"/>
    </row>
    <row r="102" spans="1:23">
      <c r="B102" s="27"/>
    </row>
    <row r="103" spans="1:23">
      <c r="B103" s="27"/>
    </row>
    <row r="104" spans="1:23">
      <c r="B104" s="27"/>
    </row>
    <row r="105" spans="1:23">
      <c r="B105" s="27"/>
    </row>
    <row r="106" spans="1:23">
      <c r="B106" s="27"/>
    </row>
    <row r="107" spans="1:23">
      <c r="B107" s="27"/>
    </row>
    <row r="108" spans="1:23">
      <c r="B108" s="27"/>
    </row>
    <row r="109" spans="1:23">
      <c r="A109" s="115"/>
      <c r="B109" s="27"/>
      <c r="C109" s="127"/>
      <c r="D109" s="97"/>
      <c r="E109" s="97"/>
    </row>
    <row r="110" spans="1:23">
      <c r="A110" s="146"/>
      <c r="B110" s="27"/>
      <c r="C110" s="127"/>
      <c r="D110" s="97"/>
    </row>
    <row r="111" spans="1:23">
      <c r="A111" s="146"/>
      <c r="B111" s="27"/>
      <c r="C111" s="127"/>
      <c r="D111" s="97"/>
    </row>
    <row r="112" spans="1:23">
      <c r="A112" s="146"/>
      <c r="B112" s="27"/>
      <c r="C112" s="127"/>
      <c r="D112" s="97"/>
    </row>
    <row r="113" spans="1:6">
      <c r="A113" s="159"/>
      <c r="B113" s="27"/>
      <c r="C113" s="127"/>
      <c r="D113" s="97"/>
    </row>
    <row r="114" spans="1:6">
      <c r="A114" s="102"/>
      <c r="B114" s="27"/>
      <c r="C114" s="127"/>
      <c r="D114" s="97"/>
    </row>
    <row r="115" spans="1:6">
      <c r="A115" s="102"/>
      <c r="B115" s="27"/>
      <c r="C115" s="127"/>
      <c r="D115" s="97"/>
      <c r="E115" s="102"/>
      <c r="F115" s="102"/>
    </row>
    <row r="116" spans="1:6">
      <c r="A116" s="115"/>
      <c r="B116" s="27"/>
      <c r="C116" s="127"/>
      <c r="D116" s="97"/>
      <c r="E116" s="97"/>
    </row>
    <row r="117" spans="1:6">
      <c r="B117" s="27"/>
    </row>
    <row r="118" spans="1:6">
      <c r="B118" s="27"/>
    </row>
    <row r="119" spans="1:6">
      <c r="B119" s="27"/>
    </row>
    <row r="120" spans="1:6">
      <c r="B120" s="27"/>
    </row>
    <row r="121" spans="1:6">
      <c r="B121" s="27"/>
    </row>
    <row r="122" spans="1:6">
      <c r="B122" s="27"/>
    </row>
    <row r="123" spans="1:6">
      <c r="B123" s="27"/>
    </row>
    <row r="124" spans="1:6">
      <c r="B124" s="27"/>
    </row>
    <row r="126" spans="1:6">
      <c r="A126" s="100"/>
    </row>
  </sheetData>
  <dataValidations count="12">
    <dataValidation type="list" allowBlank="1" showInputMessage="1" showErrorMessage="1" sqref="D27" xr:uid="{00000000-0002-0000-0100-000000000000}">
      <formula1>"Snapshot File,Export to Delimited Text File,Save Data,Save Data in Batches,File Collect,Batch,Alerts,Print"</formula1>
    </dataValidation>
    <dataValidation type="list" allowBlank="1" showInputMessage="1" showErrorMessage="1" sqref="D45" xr:uid="{00000000-0002-0000-0100-000001000000}">
      <formula1>".csv,.txt (space delimited),.txt (period delimited),.txt (pipe delimited),.txt (tab delimited),.txt (tab delimited),.txt (semicolon delimited),.txt (colon delimited)"</formula1>
    </dataValidation>
    <dataValidation type="list" allowBlank="1" showInputMessage="1" showErrorMessage="1" sqref="D42" xr:uid="{00000000-0002-0000-0100-000002000000}">
      <formula1>"Convert Axiom Formulas Only,Convert All Formulas"</formula1>
    </dataValidation>
    <dataValidation type="list" allowBlank="1" showInputMessage="1" showErrorMessage="1" sqref="D41" xr:uid="{00000000-0002-0000-0100-000003000000}">
      <formula1>".xlsx,.xlsm,.xls,.pdf"</formula1>
    </dataValidation>
    <dataValidation type="list" allowBlank="1" showInputMessage="1" showErrorMessage="1" sqref="D26 D28 D46 D56" xr:uid="{00000000-0002-0000-0100-000004000000}">
      <formula1>"Off,On"</formula1>
    </dataValidation>
    <dataValidation type="list" allowBlank="1" showInputMessage="1" showErrorMessage="1" sqref="D55" xr:uid="{00000000-0002-0000-0100-000005000000}">
      <formula1>"Create a Single Output File,Create an Output File for Each Pass"</formula1>
    </dataValidation>
    <dataValidation type="list" allowBlank="1" showInputMessage="1" showErrorMessage="1" sqref="D54" xr:uid="{00000000-0002-0000-0100-000006000000}">
      <formula1>"Save Files,Email Files,Save and Email Files"</formula1>
    </dataValidation>
    <dataValidation type="list" allowBlank="1" showInputMessage="1" showErrorMessage="1" sqref="D72" xr:uid="{00000000-0002-0000-0100-000007000000}">
      <formula1>"System,Current User"</formula1>
    </dataValidation>
    <dataValidation type="list" allowBlank="1" showInputMessage="1" showErrorMessage="1" sqref="D59" xr:uid="{00000000-0002-0000-0100-000008000000}">
      <formula1>"Save Data After Each Pass,Save Data at End of Processing,Save Results to Output Sheet"</formula1>
    </dataValidation>
    <dataValidation type="list" allowBlank="1" showInputMessage="1" showErrorMessage="1" sqref="D50" xr:uid="{00000000-0002-0000-0100-000009000000}">
      <formula1>"Local File System,Axiom Repository"</formula1>
    </dataValidation>
    <dataValidation type="list" allowBlank="1" showInputMessage="1" showErrorMessage="1" sqref="F38 H38 J38 L38 N38 P38 R38" xr:uid="{00000000-0002-0000-0100-00000A000000}">
      <formula1>$D$5:$D$5</formula1>
    </dataValidation>
    <dataValidation type="list" allowBlank="1" showInputMessage="1" showErrorMessage="1" sqref="D60" xr:uid="{00000000-0002-0000-0100-00000B000000}">
      <formula1>"Yes,No"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E3B6-8D60-4E5B-8430-11C5B55F92E3}">
  <sheetPr>
    <outlinePr summaryBelow="0"/>
  </sheetPr>
  <dimension ref="A1:K345"/>
  <sheetViews>
    <sheetView showGridLines="0" showRowColHeaders="0" topLeftCell="B1" workbookViewId="0">
      <pane xSplit="2" ySplit="17" topLeftCell="D18" activePane="bottomRight" state="frozen"/>
      <selection activeCell="D18" sqref="D18"/>
      <selection pane="topRight" activeCell="D18" sqref="D18"/>
      <selection pane="bottomLeft" activeCell="D18" sqref="D18"/>
      <selection pane="bottomRight" activeCell="J11" sqref="J11"/>
    </sheetView>
  </sheetViews>
  <sheetFormatPr defaultColWidth="8" defaultRowHeight="16.8" outlineLevelRow="2"/>
  <cols>
    <col min="1" max="1" width="30.19921875" style="201" customWidth="1"/>
    <col min="2" max="2" width="11.19921875" style="202" hidden="1" customWidth="1"/>
    <col min="3" max="3" width="39.09765625" style="202" customWidth="1"/>
    <col min="4" max="4" width="22" style="202" customWidth="1"/>
    <col min="5" max="5" width="0.8984375" style="202" customWidth="1"/>
    <col min="6" max="6" width="19.3984375" style="202" bestFit="1" customWidth="1"/>
    <col min="7" max="7" width="0.8984375" style="202" customWidth="1"/>
    <col min="8" max="8" width="19.3984375" style="202" bestFit="1" customWidth="1"/>
    <col min="9" max="9" width="0.8984375" style="202" customWidth="1"/>
    <col min="10" max="10" width="19.3984375" style="202" bestFit="1" customWidth="1"/>
    <col min="11" max="11" width="8" style="202" customWidth="1"/>
    <col min="12" max="16384" width="8" style="202"/>
  </cols>
  <sheetData>
    <row r="1" spans="1:10" s="197" customFormat="1">
      <c r="A1" s="196"/>
      <c r="C1" s="198"/>
      <c r="D1" s="199" t="s">
        <v>166</v>
      </c>
      <c r="E1" s="199" t="s">
        <v>87</v>
      </c>
      <c r="F1" s="8" t="s">
        <v>433</v>
      </c>
      <c r="H1" s="8" t="s">
        <v>264</v>
      </c>
      <c r="I1" s="200"/>
      <c r="J1" s="8" t="s">
        <v>78</v>
      </c>
    </row>
    <row r="2" spans="1:10" ht="15" hidden="1" customHeight="1">
      <c r="C2" s="203" t="s">
        <v>400</v>
      </c>
      <c r="E2" s="199"/>
      <c r="F2" s="202" t="s">
        <v>128</v>
      </c>
      <c r="H2" s="202" t="s">
        <v>128</v>
      </c>
      <c r="J2" s="202" t="s">
        <v>128</v>
      </c>
    </row>
    <row r="3" spans="1:10" ht="15" hidden="1" customHeight="1">
      <c r="A3" s="201" t="s">
        <v>0</v>
      </c>
      <c r="C3" s="202" t="s">
        <v>203</v>
      </c>
      <c r="E3" s="199"/>
    </row>
    <row r="4" spans="1:10" ht="15" hidden="1" customHeight="1">
      <c r="A4" s="201" t="s">
        <v>129</v>
      </c>
      <c r="C4" s="202" t="s">
        <v>401</v>
      </c>
      <c r="E4" s="199"/>
    </row>
    <row r="5" spans="1:10" ht="15" hidden="1" customHeight="1">
      <c r="A5" s="201" t="s">
        <v>199</v>
      </c>
      <c r="C5" s="202" t="s">
        <v>371</v>
      </c>
      <c r="D5" s="202">
        <v>141</v>
      </c>
      <c r="E5" s="199"/>
    </row>
    <row r="6" spans="1:10">
      <c r="F6" s="204" t="s">
        <v>28</v>
      </c>
      <c r="G6" s="205"/>
      <c r="H6" s="204" t="s">
        <v>28</v>
      </c>
      <c r="I6" s="205"/>
      <c r="J6" s="204" t="s">
        <v>28</v>
      </c>
    </row>
    <row r="7" spans="1:10">
      <c r="C7" s="203" t="s">
        <v>204</v>
      </c>
      <c r="D7" s="206"/>
      <c r="E7" s="207"/>
      <c r="F7" s="207"/>
      <c r="G7" s="205"/>
      <c r="H7" s="207"/>
      <c r="I7" s="205"/>
      <c r="J7" s="207"/>
    </row>
    <row r="8" spans="1:10" outlineLevel="1">
      <c r="A8" s="201" t="s">
        <v>1</v>
      </c>
      <c r="C8" s="202" t="s">
        <v>167</v>
      </c>
      <c r="D8" s="208"/>
      <c r="E8" s="207"/>
      <c r="F8" s="209" t="s">
        <v>402</v>
      </c>
      <c r="H8" s="209" t="s">
        <v>402</v>
      </c>
      <c r="J8" s="209" t="s">
        <v>239</v>
      </c>
    </row>
    <row r="9" spans="1:10" outlineLevel="1">
      <c r="A9" s="201" t="s">
        <v>272</v>
      </c>
      <c r="C9" s="210" t="s">
        <v>168</v>
      </c>
      <c r="D9" s="211"/>
      <c r="E9" s="207"/>
      <c r="F9" s="209" t="s">
        <v>402</v>
      </c>
      <c r="H9" s="209" t="s">
        <v>402</v>
      </c>
      <c r="J9" s="209" t="s">
        <v>402</v>
      </c>
    </row>
    <row r="10" spans="1:10" outlineLevel="1">
      <c r="A10" s="201" t="s">
        <v>437</v>
      </c>
      <c r="C10" s="210" t="s">
        <v>57</v>
      </c>
      <c r="D10" s="211"/>
      <c r="E10" s="207"/>
      <c r="F10" s="209" t="s">
        <v>402</v>
      </c>
      <c r="H10" s="209" t="s">
        <v>402</v>
      </c>
      <c r="J10" s="209" t="s">
        <v>239</v>
      </c>
    </row>
    <row r="11" spans="1:10" outlineLevel="1">
      <c r="A11" s="201" t="s">
        <v>403</v>
      </c>
      <c r="C11" s="210" t="s">
        <v>334</v>
      </c>
      <c r="D11" s="211"/>
      <c r="E11" s="207"/>
      <c r="F11" s="209"/>
      <c r="H11" s="209"/>
      <c r="J11" s="246" t="str">
        <f>J1&amp;"_"&amp;IF(Variables!$I$30,Variables!$I$33,Variables!$J$72)</f>
        <v>DeptSpecificFcstAdj_</v>
      </c>
    </row>
    <row r="12" spans="1:10" outlineLevel="1">
      <c r="A12" s="201" t="s">
        <v>503</v>
      </c>
      <c r="C12" s="210" t="s">
        <v>169</v>
      </c>
      <c r="D12" s="211"/>
      <c r="E12" s="207"/>
      <c r="F12" s="209"/>
      <c r="H12" s="209"/>
      <c r="J12" s="209" t="s">
        <v>193</v>
      </c>
    </row>
    <row r="13" spans="1:10" outlineLevel="1">
      <c r="A13" s="201" t="s">
        <v>58</v>
      </c>
      <c r="C13" s="202" t="s">
        <v>235</v>
      </c>
      <c r="D13" s="208"/>
      <c r="E13" s="207"/>
      <c r="F13" s="209" t="s">
        <v>402</v>
      </c>
      <c r="H13" s="209" t="s">
        <v>402</v>
      </c>
      <c r="J13" s="209" t="s">
        <v>402</v>
      </c>
    </row>
    <row r="14" spans="1:10" outlineLevel="1">
      <c r="A14" s="201" t="s">
        <v>29</v>
      </c>
      <c r="C14" s="210" t="s">
        <v>130</v>
      </c>
      <c r="D14" s="211"/>
      <c r="E14" s="207"/>
      <c r="F14" s="209"/>
      <c r="H14" s="209"/>
      <c r="J14" s="209"/>
    </row>
    <row r="15" spans="1:10" outlineLevel="1">
      <c r="A15" s="201" t="s">
        <v>335</v>
      </c>
      <c r="C15" s="210" t="s">
        <v>131</v>
      </c>
      <c r="D15" s="211"/>
      <c r="E15" s="207"/>
      <c r="F15" s="209"/>
      <c r="H15" s="209"/>
      <c r="J15" s="209"/>
    </row>
    <row r="16" spans="1:10" outlineLevel="1">
      <c r="A16" s="201" t="s">
        <v>88</v>
      </c>
      <c r="C16" s="202" t="s">
        <v>273</v>
      </c>
      <c r="D16" s="211"/>
      <c r="E16" s="207"/>
      <c r="F16" s="209" t="s">
        <v>402</v>
      </c>
      <c r="H16" s="209" t="s">
        <v>402</v>
      </c>
      <c r="J16" s="209" t="s">
        <v>402</v>
      </c>
    </row>
    <row r="17" spans="1:5">
      <c r="A17" s="201" t="s">
        <v>2</v>
      </c>
      <c r="C17" s="203" t="s">
        <v>30</v>
      </c>
      <c r="D17" s="206"/>
      <c r="E17" s="207"/>
    </row>
    <row r="18" spans="1:5" outlineLevel="1">
      <c r="A18" s="201" t="s">
        <v>205</v>
      </c>
      <c r="C18" s="202" t="s">
        <v>206</v>
      </c>
      <c r="D18" s="8" t="s">
        <v>239</v>
      </c>
      <c r="E18" s="207"/>
    </row>
    <row r="19" spans="1:5" outlineLevel="1">
      <c r="A19" s="201" t="s">
        <v>236</v>
      </c>
      <c r="C19" s="202" t="s">
        <v>274</v>
      </c>
      <c r="D19" s="8" t="s">
        <v>239</v>
      </c>
      <c r="E19" s="207"/>
    </row>
    <row r="20" spans="1:5" outlineLevel="1">
      <c r="A20" s="201" t="s">
        <v>237</v>
      </c>
      <c r="C20" s="202" t="s">
        <v>336</v>
      </c>
      <c r="D20" s="8" t="s">
        <v>402</v>
      </c>
      <c r="E20" s="207"/>
    </row>
    <row r="21" spans="1:5" outlineLevel="1">
      <c r="A21" s="201" t="s">
        <v>533</v>
      </c>
      <c r="C21" s="202" t="s">
        <v>323</v>
      </c>
      <c r="D21" s="8" t="s">
        <v>239</v>
      </c>
      <c r="E21" s="207"/>
    </row>
    <row r="22" spans="1:5" outlineLevel="1">
      <c r="A22" s="201" t="s">
        <v>89</v>
      </c>
      <c r="C22" s="202" t="s">
        <v>300</v>
      </c>
      <c r="D22" s="8" t="s">
        <v>402</v>
      </c>
      <c r="E22" s="207"/>
    </row>
    <row r="23" spans="1:5" outlineLevel="1">
      <c r="A23" s="201" t="s">
        <v>438</v>
      </c>
      <c r="C23" s="202" t="s">
        <v>504</v>
      </c>
      <c r="D23" s="8" t="s">
        <v>402</v>
      </c>
      <c r="E23" s="207"/>
    </row>
    <row r="24" spans="1:5" outlineLevel="1">
      <c r="A24" s="201" t="s">
        <v>555</v>
      </c>
      <c r="C24" s="202" t="s">
        <v>556</v>
      </c>
      <c r="D24" s="8" t="s">
        <v>402</v>
      </c>
      <c r="E24" s="207"/>
    </row>
    <row r="25" spans="1:5" outlineLevel="1">
      <c r="A25" s="201" t="s">
        <v>557</v>
      </c>
      <c r="C25" s="202" t="s">
        <v>558</v>
      </c>
      <c r="D25" s="8" t="s">
        <v>239</v>
      </c>
      <c r="E25" s="207"/>
    </row>
    <row r="26" spans="1:5" outlineLevel="1">
      <c r="A26" s="201" t="s">
        <v>170</v>
      </c>
      <c r="C26" s="202" t="s">
        <v>404</v>
      </c>
      <c r="D26" s="8"/>
      <c r="E26" s="207"/>
    </row>
    <row r="27" spans="1:5" outlineLevel="1">
      <c r="A27" s="201" t="s">
        <v>498</v>
      </c>
      <c r="C27" s="202" t="s">
        <v>228</v>
      </c>
      <c r="D27" s="8" t="s">
        <v>78</v>
      </c>
      <c r="E27" s="207"/>
    </row>
    <row r="28" spans="1:5" outlineLevel="1">
      <c r="A28" s="201" t="s">
        <v>499</v>
      </c>
      <c r="C28" s="202" t="s">
        <v>23</v>
      </c>
      <c r="D28" s="8" t="s">
        <v>239</v>
      </c>
      <c r="E28" s="207"/>
    </row>
    <row r="29" spans="1:5" outlineLevel="1">
      <c r="A29" s="201" t="s">
        <v>396</v>
      </c>
      <c r="C29" s="202" t="s">
        <v>500</v>
      </c>
      <c r="D29" s="8"/>
      <c r="E29" s="207"/>
    </row>
    <row r="30" spans="1:5" outlineLevel="1">
      <c r="A30" s="201" t="s">
        <v>397</v>
      </c>
      <c r="C30" s="202" t="s">
        <v>268</v>
      </c>
      <c r="D30" s="8" t="s">
        <v>402</v>
      </c>
      <c r="E30" s="207"/>
    </row>
    <row r="31" spans="1:5" outlineLevel="1">
      <c r="A31" s="201" t="s">
        <v>161</v>
      </c>
      <c r="C31" s="202" t="s">
        <v>24</v>
      </c>
      <c r="D31" s="8"/>
      <c r="E31" s="207"/>
    </row>
    <row r="32" spans="1:5" outlineLevel="1">
      <c r="A32" s="201" t="s">
        <v>327</v>
      </c>
      <c r="C32" s="202" t="s">
        <v>56</v>
      </c>
      <c r="D32" s="8"/>
      <c r="E32" s="207"/>
    </row>
    <row r="33" spans="1:10" outlineLevel="1">
      <c r="A33" s="201" t="s">
        <v>540</v>
      </c>
      <c r="C33" s="202" t="s">
        <v>25</v>
      </c>
      <c r="D33" s="8"/>
      <c r="E33" s="207"/>
    </row>
    <row r="34" spans="1:10" outlineLevel="1">
      <c r="A34" s="201" t="s">
        <v>369</v>
      </c>
      <c r="C34" s="202" t="s">
        <v>541</v>
      </c>
      <c r="D34" s="8" t="s">
        <v>239</v>
      </c>
      <c r="E34" s="207"/>
    </row>
    <row r="35" spans="1:10" outlineLevel="1">
      <c r="A35" s="201" t="s">
        <v>201</v>
      </c>
      <c r="C35" s="202" t="s">
        <v>165</v>
      </c>
      <c r="D35" s="8"/>
      <c r="E35" s="207"/>
    </row>
    <row r="36" spans="1:10" outlineLevel="1">
      <c r="A36" s="201" t="s">
        <v>464</v>
      </c>
      <c r="C36" s="202" t="s">
        <v>230</v>
      </c>
      <c r="D36" s="8"/>
      <c r="E36" s="207"/>
    </row>
    <row r="37" spans="1:10" outlineLevel="1">
      <c r="A37" s="201" t="s">
        <v>465</v>
      </c>
      <c r="C37" s="202" t="s">
        <v>231</v>
      </c>
      <c r="D37" s="8"/>
      <c r="E37" s="207"/>
    </row>
    <row r="38" spans="1:10">
      <c r="A38" s="201" t="s">
        <v>2</v>
      </c>
      <c r="C38" s="203" t="s">
        <v>405</v>
      </c>
      <c r="D38" s="206"/>
      <c r="E38" s="207"/>
    </row>
    <row r="39" spans="1:10" outlineLevel="1">
      <c r="A39" s="201" t="s">
        <v>337</v>
      </c>
      <c r="C39" s="202" t="s">
        <v>207</v>
      </c>
      <c r="D39" s="208"/>
      <c r="E39" s="207"/>
      <c r="F39" s="8" t="s">
        <v>366</v>
      </c>
      <c r="H39" s="8" t="s">
        <v>366</v>
      </c>
      <c r="J39" s="8" t="s">
        <v>406</v>
      </c>
    </row>
    <row r="40" spans="1:10" outlineLevel="1">
      <c r="A40" s="201" t="s">
        <v>372</v>
      </c>
      <c r="C40" s="202" t="s">
        <v>90</v>
      </c>
      <c r="D40" s="208"/>
      <c r="E40" s="207"/>
      <c r="F40" s="8" t="s">
        <v>402</v>
      </c>
      <c r="H40" s="8" t="s">
        <v>402</v>
      </c>
      <c r="J40" s="8" t="s">
        <v>239</v>
      </c>
    </row>
    <row r="41" spans="1:10" outlineLevel="1">
      <c r="A41" s="201" t="s">
        <v>338</v>
      </c>
      <c r="C41" s="202" t="s">
        <v>407</v>
      </c>
      <c r="D41" s="208"/>
      <c r="E41" s="207"/>
      <c r="F41" s="23" t="str">
        <f>F40</f>
        <v>Off</v>
      </c>
      <c r="H41" s="23" t="str">
        <f>H40</f>
        <v>Off</v>
      </c>
      <c r="J41" s="23" t="str">
        <f>J40</f>
        <v>On</v>
      </c>
    </row>
    <row r="42" spans="1:10" outlineLevel="1">
      <c r="A42" s="201" t="s">
        <v>238</v>
      </c>
      <c r="C42" s="202" t="s">
        <v>59</v>
      </c>
      <c r="D42" s="208"/>
      <c r="E42" s="207"/>
      <c r="F42" s="24" t="s">
        <v>2</v>
      </c>
      <c r="G42" s="212"/>
      <c r="H42" s="24" t="s">
        <v>2</v>
      </c>
      <c r="I42" s="212"/>
      <c r="J42" s="24" t="s">
        <v>576</v>
      </c>
    </row>
    <row r="43" spans="1:10" outlineLevel="1">
      <c r="A43" s="201" t="s">
        <v>60</v>
      </c>
      <c r="C43" s="202" t="s">
        <v>91</v>
      </c>
      <c r="D43" s="208"/>
      <c r="E43" s="207"/>
      <c r="F43" s="24" t="s">
        <v>2</v>
      </c>
      <c r="G43" s="212"/>
      <c r="H43" s="24" t="s">
        <v>2</v>
      </c>
      <c r="I43" s="212"/>
      <c r="J43" s="24" t="s">
        <v>86</v>
      </c>
    </row>
    <row r="44" spans="1:10" outlineLevel="1">
      <c r="A44" s="201" t="s">
        <v>374</v>
      </c>
      <c r="C44" s="202" t="s">
        <v>375</v>
      </c>
      <c r="D44" s="208"/>
      <c r="E44" s="207"/>
      <c r="F44" s="8" t="s">
        <v>402</v>
      </c>
      <c r="H44" s="8" t="s">
        <v>402</v>
      </c>
      <c r="J44" s="8" t="s">
        <v>402</v>
      </c>
    </row>
    <row r="45" spans="1:10" outlineLevel="1">
      <c r="A45" s="201" t="s">
        <v>328</v>
      </c>
      <c r="C45" s="202" t="s">
        <v>126</v>
      </c>
      <c r="D45" s="208"/>
      <c r="E45" s="207"/>
      <c r="F45" s="8"/>
      <c r="H45" s="8"/>
      <c r="J45" s="8"/>
    </row>
    <row r="46" spans="1:10" outlineLevel="1">
      <c r="A46" s="201" t="s">
        <v>54</v>
      </c>
      <c r="C46" s="202" t="s">
        <v>158</v>
      </c>
      <c r="D46" s="208"/>
      <c r="E46" s="207"/>
      <c r="F46" s="24" t="s">
        <v>2</v>
      </c>
      <c r="G46" s="212"/>
      <c r="H46" s="24" t="s">
        <v>2</v>
      </c>
      <c r="I46" s="212"/>
      <c r="J46" s="24" t="s">
        <v>2</v>
      </c>
    </row>
    <row r="47" spans="1:10" outlineLevel="1">
      <c r="A47" s="201" t="s">
        <v>229</v>
      </c>
      <c r="C47" s="202" t="s">
        <v>329</v>
      </c>
      <c r="D47" s="208"/>
      <c r="E47" s="207"/>
      <c r="F47" s="8"/>
      <c r="H47" s="8"/>
      <c r="J47" s="8"/>
    </row>
    <row r="48" spans="1:10" outlineLevel="1">
      <c r="A48" s="201" t="s">
        <v>370</v>
      </c>
      <c r="C48" s="202" t="s">
        <v>26</v>
      </c>
      <c r="D48" s="208"/>
      <c r="E48" s="207"/>
      <c r="F48" s="24" t="s">
        <v>2</v>
      </c>
      <c r="G48" s="212"/>
      <c r="H48" s="24" t="s">
        <v>2</v>
      </c>
      <c r="I48" s="212"/>
      <c r="J48" s="24" t="s">
        <v>2</v>
      </c>
    </row>
    <row r="49" spans="1:10" outlineLevel="1" collapsed="1">
      <c r="C49" s="203" t="s">
        <v>459</v>
      </c>
      <c r="D49" s="208"/>
      <c r="E49" s="207"/>
    </row>
    <row r="50" spans="1:10" hidden="1" outlineLevel="2">
      <c r="A50" s="201" t="s">
        <v>466</v>
      </c>
      <c r="C50" s="213" t="s">
        <v>3</v>
      </c>
      <c r="D50" s="208"/>
      <c r="E50" s="207"/>
      <c r="F50" s="8"/>
      <c r="H50" s="8"/>
      <c r="J50" s="8" t="s">
        <v>325</v>
      </c>
    </row>
    <row r="51" spans="1:10" hidden="1" outlineLevel="2">
      <c r="A51" s="201" t="s">
        <v>364</v>
      </c>
      <c r="C51" s="213" t="s">
        <v>432</v>
      </c>
      <c r="D51" s="208"/>
      <c r="E51" s="207"/>
      <c r="F51" s="8"/>
      <c r="H51" s="8"/>
      <c r="J51" s="8"/>
    </row>
    <row r="52" spans="1:10" hidden="1" outlineLevel="2">
      <c r="A52" s="201" t="s">
        <v>119</v>
      </c>
      <c r="C52" s="213" t="s">
        <v>324</v>
      </c>
      <c r="D52" s="208"/>
      <c r="E52" s="207"/>
      <c r="F52" s="8"/>
      <c r="H52" s="8"/>
      <c r="J52" s="8"/>
    </row>
    <row r="53" spans="1:10" hidden="1" outlineLevel="2">
      <c r="A53" s="201" t="s">
        <v>373</v>
      </c>
      <c r="C53" s="213" t="s">
        <v>339</v>
      </c>
      <c r="D53" s="208"/>
      <c r="E53" s="207"/>
      <c r="F53" s="8"/>
      <c r="H53" s="8"/>
      <c r="J53" s="8" t="s">
        <v>325</v>
      </c>
    </row>
    <row r="54" spans="1:10" hidden="1" outlineLevel="2">
      <c r="A54" s="201" t="s">
        <v>120</v>
      </c>
      <c r="C54" s="213" t="s">
        <v>20</v>
      </c>
      <c r="D54" s="208"/>
      <c r="E54" s="207"/>
      <c r="F54" s="8"/>
      <c r="H54" s="8"/>
      <c r="J54" s="8"/>
    </row>
    <row r="55" spans="1:10" hidden="1" outlineLevel="2">
      <c r="A55" s="201" t="s">
        <v>365</v>
      </c>
      <c r="C55" s="213" t="s">
        <v>121</v>
      </c>
      <c r="D55" s="208"/>
      <c r="E55" s="207"/>
      <c r="F55" s="8"/>
      <c r="H55" s="8"/>
      <c r="J55" s="8"/>
    </row>
    <row r="56" spans="1:10" hidden="1" outlineLevel="2">
      <c r="A56" s="201" t="s">
        <v>263</v>
      </c>
      <c r="C56" s="213" t="s">
        <v>534</v>
      </c>
      <c r="D56" s="208"/>
      <c r="E56" s="207"/>
      <c r="F56" s="8" t="s">
        <v>239</v>
      </c>
      <c r="H56" s="8" t="s">
        <v>239</v>
      </c>
      <c r="J56" s="8" t="s">
        <v>239</v>
      </c>
    </row>
    <row r="57" spans="1:10" collapsed="1">
      <c r="C57" s="203" t="s">
        <v>92</v>
      </c>
      <c r="D57" s="208"/>
      <c r="E57" s="207"/>
      <c r="F57" s="213"/>
      <c r="H57" s="213"/>
      <c r="J57" s="213"/>
    </row>
    <row r="58" spans="1:10" hidden="1" outlineLevel="1">
      <c r="A58" s="201" t="s">
        <v>439</v>
      </c>
      <c r="C58" s="202" t="s">
        <v>93</v>
      </c>
      <c r="D58" s="8" t="s">
        <v>402</v>
      </c>
      <c r="E58" s="207"/>
      <c r="F58" s="213"/>
      <c r="H58" s="213"/>
      <c r="J58" s="213"/>
    </row>
    <row r="59" spans="1:10" hidden="1" outlineLevel="1">
      <c r="A59" s="201" t="s">
        <v>467</v>
      </c>
      <c r="C59" s="202" t="s">
        <v>94</v>
      </c>
      <c r="D59" s="8" t="s">
        <v>402</v>
      </c>
      <c r="E59" s="207"/>
      <c r="F59" s="213"/>
      <c r="H59" s="213"/>
      <c r="J59" s="213"/>
    </row>
    <row r="60" spans="1:10" hidden="1" outlineLevel="1">
      <c r="A60" s="201" t="s">
        <v>31</v>
      </c>
      <c r="C60" s="202" t="s">
        <v>4</v>
      </c>
      <c r="D60" s="8" t="s">
        <v>200</v>
      </c>
      <c r="E60" s="207"/>
      <c r="F60" s="213"/>
      <c r="H60" s="213"/>
      <c r="J60" s="213"/>
    </row>
    <row r="61" spans="1:10" hidden="1" outlineLevel="1">
      <c r="A61" s="201" t="s">
        <v>95</v>
      </c>
      <c r="C61" s="202" t="s">
        <v>468</v>
      </c>
      <c r="D61" s="8" t="s">
        <v>239</v>
      </c>
      <c r="E61" s="207"/>
      <c r="F61" s="213"/>
      <c r="H61" s="213"/>
      <c r="J61" s="213"/>
    </row>
    <row r="62" spans="1:10" hidden="1" outlineLevel="1">
      <c r="A62" s="201" t="s">
        <v>171</v>
      </c>
      <c r="C62" s="202" t="s">
        <v>469</v>
      </c>
      <c r="E62" s="207"/>
      <c r="F62" s="8" t="s">
        <v>402</v>
      </c>
      <c r="H62" s="8" t="s">
        <v>402</v>
      </c>
      <c r="J62" s="8" t="s">
        <v>239</v>
      </c>
    </row>
    <row r="63" spans="1:10" hidden="1" outlineLevel="1">
      <c r="A63" s="201" t="s">
        <v>340</v>
      </c>
      <c r="C63" s="202" t="s">
        <v>96</v>
      </c>
      <c r="D63" s="208"/>
      <c r="E63" s="207"/>
      <c r="F63" s="8" t="s">
        <v>402</v>
      </c>
      <c r="H63" s="8" t="s">
        <v>402</v>
      </c>
      <c r="J63" s="8" t="s">
        <v>402</v>
      </c>
    </row>
    <row r="64" spans="1:10">
      <c r="C64" s="203" t="s">
        <v>208</v>
      </c>
      <c r="D64" s="213"/>
      <c r="E64" s="213"/>
      <c r="F64" s="213"/>
      <c r="H64" s="213"/>
      <c r="J64" s="213"/>
    </row>
    <row r="65" spans="1:10" outlineLevel="1">
      <c r="C65" s="203" t="s">
        <v>341</v>
      </c>
      <c r="D65" s="203" t="s">
        <v>209</v>
      </c>
      <c r="E65" s="207"/>
      <c r="F65" s="203" t="s">
        <v>275</v>
      </c>
      <c r="H65" s="203" t="s">
        <v>275</v>
      </c>
      <c r="J65" s="203" t="s">
        <v>275</v>
      </c>
    </row>
    <row r="66" spans="1:10" s="214" customFormat="1" ht="29.4" outlineLevel="1">
      <c r="A66" s="201" t="s">
        <v>5</v>
      </c>
      <c r="C66" s="113" t="s">
        <v>154</v>
      </c>
      <c r="D66" s="113" t="s">
        <v>429</v>
      </c>
      <c r="E66" s="215"/>
      <c r="F66" s="40"/>
      <c r="G66" s="216"/>
      <c r="H66" s="40"/>
      <c r="I66" s="216"/>
      <c r="J66" s="40" t="str">
        <f>IF(OR(Variables!$I$30,Variables!$J$72=""),"",Variables!$D$72)</f>
        <v/>
      </c>
    </row>
    <row r="67" spans="1:10" s="214" customFormat="1" outlineLevel="1">
      <c r="A67" s="201" t="s">
        <v>408</v>
      </c>
      <c r="C67" s="113"/>
      <c r="D67" s="113"/>
      <c r="E67" s="215"/>
      <c r="F67" s="40"/>
      <c r="G67" s="216"/>
      <c r="H67" s="40"/>
      <c r="I67" s="216"/>
      <c r="J67" s="40"/>
    </row>
    <row r="68" spans="1:10" s="214" customFormat="1" outlineLevel="1">
      <c r="A68" s="201" t="s">
        <v>276</v>
      </c>
      <c r="C68" s="113"/>
      <c r="D68" s="113"/>
      <c r="E68" s="215"/>
      <c r="F68" s="40"/>
      <c r="G68" s="216"/>
      <c r="H68" s="40"/>
      <c r="I68" s="216"/>
      <c r="J68" s="40"/>
    </row>
    <row r="69" spans="1:10" s="214" customFormat="1" outlineLevel="1">
      <c r="A69" s="201" t="s">
        <v>132</v>
      </c>
      <c r="C69" s="113"/>
      <c r="D69" s="113"/>
      <c r="E69" s="215"/>
      <c r="F69" s="40"/>
      <c r="G69" s="216"/>
      <c r="H69" s="40"/>
      <c r="I69" s="216"/>
      <c r="J69" s="40"/>
    </row>
    <row r="70" spans="1:10" s="214" customFormat="1" outlineLevel="1">
      <c r="A70" s="201" t="s">
        <v>6</v>
      </c>
      <c r="C70" s="113"/>
      <c r="D70" s="113"/>
      <c r="E70" s="215"/>
      <c r="F70" s="40"/>
      <c r="G70" s="216"/>
      <c r="H70" s="40"/>
      <c r="I70" s="216"/>
      <c r="J70" s="40"/>
    </row>
    <row r="71" spans="1:10">
      <c r="E71" s="207"/>
      <c r="F71" s="213"/>
      <c r="H71" s="213"/>
      <c r="J71" s="213"/>
    </row>
    <row r="72" spans="1:10" s="218" customFormat="1">
      <c r="A72" s="217" t="s">
        <v>172</v>
      </c>
      <c r="C72" s="218" t="str">
        <f>"Axiom Query - " &amp; A72</f>
        <v>Axiom Query - [AQ1]</v>
      </c>
      <c r="E72" s="219"/>
    </row>
    <row r="73" spans="1:10">
      <c r="A73" s="220" t="s">
        <v>409</v>
      </c>
      <c r="C73" s="202" t="s">
        <v>97</v>
      </c>
      <c r="E73" s="207"/>
      <c r="F73" s="8"/>
      <c r="H73" s="8"/>
      <c r="J73" s="8" t="s">
        <v>494</v>
      </c>
    </row>
    <row r="74" spans="1:10">
      <c r="A74" s="220" t="s">
        <v>470</v>
      </c>
      <c r="C74" s="221" t="s">
        <v>173</v>
      </c>
      <c r="D74" s="221"/>
      <c r="E74" s="222"/>
      <c r="F74" s="8" t="s">
        <v>402</v>
      </c>
      <c r="H74" s="8" t="s">
        <v>402</v>
      </c>
      <c r="J74" s="8" t="s">
        <v>239</v>
      </c>
    </row>
    <row r="75" spans="1:10">
      <c r="A75" s="220"/>
      <c r="C75" s="223" t="s">
        <v>277</v>
      </c>
      <c r="D75" s="221"/>
      <c r="E75" s="222"/>
    </row>
    <row r="76" spans="1:10" outlineLevel="1">
      <c r="A76" s="220" t="s">
        <v>440</v>
      </c>
      <c r="C76" s="221" t="s">
        <v>32</v>
      </c>
      <c r="D76" s="221"/>
      <c r="E76" s="222"/>
      <c r="F76" s="8"/>
      <c r="H76" s="8"/>
      <c r="J76" s="8"/>
    </row>
    <row r="77" spans="1:10" outlineLevel="1">
      <c r="A77" s="220" t="s">
        <v>133</v>
      </c>
      <c r="C77" s="224" t="s">
        <v>210</v>
      </c>
      <c r="D77" s="224"/>
      <c r="E77" s="222"/>
      <c r="F77" s="8"/>
      <c r="H77" s="8"/>
      <c r="J77" s="8" t="s">
        <v>583</v>
      </c>
    </row>
    <row r="78" spans="1:10" outlineLevel="1">
      <c r="A78" s="220" t="s">
        <v>278</v>
      </c>
      <c r="C78" s="224" t="s">
        <v>410</v>
      </c>
      <c r="D78" s="224"/>
      <c r="E78" s="222"/>
      <c r="F78" s="23" t="str">
        <f>IF(F77="","",F77)</f>
        <v/>
      </c>
      <c r="H78" s="23" t="str">
        <f>IF(H77="","",H77)</f>
        <v/>
      </c>
      <c r="J78" s="23" t="str">
        <f>IF(J77="","",J77)</f>
        <v>ACCT.BudgetType;ACCT.Acct;DEPT.Dept</v>
      </c>
    </row>
    <row r="79" spans="1:10" outlineLevel="1">
      <c r="A79" s="220" t="s">
        <v>240</v>
      </c>
      <c r="C79" s="224" t="s">
        <v>376</v>
      </c>
      <c r="D79" s="224"/>
      <c r="E79" s="222"/>
      <c r="F79" s="8"/>
      <c r="H79" s="8"/>
      <c r="J79" s="8"/>
    </row>
    <row r="80" spans="1:10" outlineLevel="1">
      <c r="A80" s="220"/>
      <c r="C80" s="223" t="s">
        <v>298</v>
      </c>
      <c r="D80" s="224"/>
      <c r="E80" s="222"/>
    </row>
    <row r="81" spans="1:11" s="205" customFormat="1" ht="30.6" outlineLevel="2">
      <c r="A81" s="225" t="s">
        <v>61</v>
      </c>
      <c r="C81" s="224" t="s">
        <v>342</v>
      </c>
      <c r="D81" s="224"/>
      <c r="E81" s="226"/>
      <c r="F81" s="227"/>
      <c r="G81" s="228"/>
      <c r="H81" s="227"/>
      <c r="I81" s="228"/>
      <c r="J81" s="227" t="s">
        <v>27</v>
      </c>
      <c r="K81" s="229"/>
    </row>
    <row r="82" spans="1:11" outlineLevel="2">
      <c r="A82" s="220" t="s">
        <v>33</v>
      </c>
      <c r="C82" s="224" t="s">
        <v>279</v>
      </c>
      <c r="D82" s="224"/>
      <c r="E82" s="222"/>
      <c r="F82" s="227"/>
      <c r="H82" s="227"/>
      <c r="J82" s="227"/>
    </row>
    <row r="83" spans="1:11" outlineLevel="2">
      <c r="A83" s="220" t="s">
        <v>34</v>
      </c>
      <c r="C83" s="224" t="s">
        <v>211</v>
      </c>
      <c r="D83" s="224"/>
      <c r="E83" s="222"/>
      <c r="F83" s="227"/>
      <c r="H83" s="227"/>
      <c r="J83" s="227"/>
    </row>
    <row r="84" spans="1:11" outlineLevel="2">
      <c r="A84" s="220" t="s">
        <v>441</v>
      </c>
      <c r="C84" s="224" t="s">
        <v>174</v>
      </c>
      <c r="D84" s="224"/>
      <c r="E84" s="222"/>
      <c r="F84" s="227"/>
      <c r="H84" s="227"/>
      <c r="J84" s="227"/>
    </row>
    <row r="85" spans="1:11" outlineLevel="1">
      <c r="A85" s="220" t="s">
        <v>98</v>
      </c>
      <c r="C85" s="202" t="s">
        <v>377</v>
      </c>
      <c r="E85" s="222"/>
      <c r="F85" s="8" t="s">
        <v>402</v>
      </c>
      <c r="H85" s="8" t="s">
        <v>402</v>
      </c>
      <c r="J85" s="8" t="s">
        <v>239</v>
      </c>
    </row>
    <row r="86" spans="1:11" outlineLevel="1">
      <c r="A86" s="220" t="s">
        <v>35</v>
      </c>
      <c r="C86" s="202" t="s">
        <v>7</v>
      </c>
      <c r="D86" s="224"/>
      <c r="F86" s="8"/>
      <c r="H86" s="8"/>
      <c r="J86" s="8"/>
    </row>
    <row r="87" spans="1:11" outlineLevel="1">
      <c r="A87" s="220" t="s">
        <v>36</v>
      </c>
      <c r="C87" s="202" t="s">
        <v>62</v>
      </c>
      <c r="D87" s="224"/>
      <c r="F87" s="8"/>
      <c r="H87" s="8"/>
      <c r="J87" s="8"/>
    </row>
    <row r="88" spans="1:11" outlineLevel="1">
      <c r="A88" s="220" t="s">
        <v>85</v>
      </c>
      <c r="C88" s="202" t="s">
        <v>368</v>
      </c>
      <c r="D88" s="224"/>
      <c r="F88" s="8"/>
      <c r="H88" s="8"/>
      <c r="J88" s="8"/>
    </row>
    <row r="89" spans="1:11" outlineLevel="1">
      <c r="A89" s="220" t="s">
        <v>232</v>
      </c>
      <c r="C89" s="202" t="s">
        <v>233</v>
      </c>
      <c r="D89" s="224"/>
      <c r="F89" s="8"/>
      <c r="H89" s="8"/>
      <c r="J89" s="8"/>
    </row>
    <row r="90" spans="1:11" collapsed="1">
      <c r="A90" s="220"/>
      <c r="C90" s="223" t="s">
        <v>212</v>
      </c>
      <c r="D90" s="224"/>
    </row>
    <row r="91" spans="1:11" hidden="1" outlineLevel="1">
      <c r="A91" s="220" t="s">
        <v>343</v>
      </c>
      <c r="C91" s="224" t="s">
        <v>175</v>
      </c>
      <c r="E91" s="222"/>
      <c r="F91" s="8" t="s">
        <v>505</v>
      </c>
      <c r="H91" s="8" t="s">
        <v>505</v>
      </c>
      <c r="J91" s="8" t="s">
        <v>505</v>
      </c>
    </row>
    <row r="92" spans="1:11" hidden="1" outlineLevel="1">
      <c r="A92" s="220" t="s">
        <v>176</v>
      </c>
      <c r="C92" s="224" t="s">
        <v>471</v>
      </c>
      <c r="E92" s="222"/>
      <c r="F92" s="8" t="s">
        <v>402</v>
      </c>
      <c r="H92" s="8" t="s">
        <v>402</v>
      </c>
      <c r="J92" s="8" t="s">
        <v>402</v>
      </c>
    </row>
    <row r="93" spans="1:11" hidden="1" outlineLevel="1">
      <c r="A93" s="220" t="s">
        <v>241</v>
      </c>
      <c r="C93" s="224" t="s">
        <v>411</v>
      </c>
      <c r="E93" s="222"/>
      <c r="F93" s="8" t="s">
        <v>402</v>
      </c>
      <c r="H93" s="8" t="s">
        <v>402</v>
      </c>
      <c r="J93" s="8" t="s">
        <v>402</v>
      </c>
    </row>
    <row r="94" spans="1:11" hidden="1" outlineLevel="1">
      <c r="A94" s="220" t="s">
        <v>344</v>
      </c>
      <c r="C94" s="224" t="s">
        <v>506</v>
      </c>
      <c r="E94" s="222"/>
      <c r="F94" s="8" t="s">
        <v>239</v>
      </c>
      <c r="H94" s="8" t="s">
        <v>239</v>
      </c>
      <c r="J94" s="8" t="s">
        <v>402</v>
      </c>
    </row>
    <row r="95" spans="1:11" collapsed="1">
      <c r="A95" s="220"/>
      <c r="C95" s="223" t="s">
        <v>242</v>
      </c>
      <c r="D95" s="230"/>
    </row>
    <row r="96" spans="1:11" hidden="1" outlineLevel="1" collapsed="1">
      <c r="A96" s="220"/>
      <c r="C96" s="231" t="s">
        <v>99</v>
      </c>
      <c r="D96" s="230"/>
    </row>
    <row r="97" spans="1:11" hidden="1" outlineLevel="2">
      <c r="A97" s="220" t="s">
        <v>213</v>
      </c>
      <c r="C97" s="232" t="s">
        <v>177</v>
      </c>
      <c r="D97" s="224"/>
      <c r="F97" s="24" t="s">
        <v>63</v>
      </c>
      <c r="G97" s="212"/>
      <c r="H97" s="24" t="s">
        <v>63</v>
      </c>
      <c r="I97" s="212"/>
      <c r="J97" s="24" t="s">
        <v>544</v>
      </c>
      <c r="K97" s="212"/>
    </row>
    <row r="98" spans="1:11" hidden="1" outlineLevel="2">
      <c r="A98" s="220" t="s">
        <v>37</v>
      </c>
      <c r="C98" s="232" t="s">
        <v>134</v>
      </c>
      <c r="D98" s="224"/>
      <c r="F98" s="8" t="s">
        <v>412</v>
      </c>
      <c r="H98" s="8" t="s">
        <v>412</v>
      </c>
      <c r="J98" s="8" t="s">
        <v>412</v>
      </c>
    </row>
    <row r="99" spans="1:11" hidden="1" outlineLevel="2">
      <c r="A99" s="220" t="s">
        <v>345</v>
      </c>
      <c r="C99" s="232" t="s">
        <v>507</v>
      </c>
      <c r="D99" s="224"/>
      <c r="F99" s="8"/>
      <c r="H99" s="8"/>
      <c r="J99" s="8"/>
    </row>
    <row r="100" spans="1:11" hidden="1" outlineLevel="1" collapsed="1">
      <c r="A100" s="220"/>
      <c r="C100" s="231" t="s">
        <v>280</v>
      </c>
      <c r="D100" s="224"/>
    </row>
    <row r="101" spans="1:11" s="234" customFormat="1" hidden="1" outlineLevel="2">
      <c r="A101" s="233" t="s">
        <v>472</v>
      </c>
      <c r="C101" s="232" t="s">
        <v>214</v>
      </c>
      <c r="D101" s="235"/>
      <c r="F101" s="48" t="s">
        <v>473</v>
      </c>
      <c r="G101" s="236"/>
      <c r="H101" s="48" t="s">
        <v>473</v>
      </c>
      <c r="I101" s="236"/>
      <c r="J101" s="48" t="s">
        <v>545</v>
      </c>
    </row>
    <row r="102" spans="1:11" s="234" customFormat="1" hidden="1" outlineLevel="2">
      <c r="A102" s="233" t="s">
        <v>2</v>
      </c>
      <c r="C102" s="237" t="s">
        <v>135</v>
      </c>
      <c r="D102" s="237"/>
      <c r="E102" s="237"/>
      <c r="F102" s="238"/>
      <c r="H102" s="238"/>
      <c r="J102" s="238"/>
    </row>
    <row r="103" spans="1:11" s="234" customFormat="1" hidden="1" outlineLevel="2">
      <c r="A103" s="233" t="s">
        <v>346</v>
      </c>
      <c r="C103" s="232" t="s">
        <v>474</v>
      </c>
      <c r="D103" s="235"/>
      <c r="F103" s="49"/>
      <c r="H103" s="49"/>
      <c r="J103" s="49"/>
    </row>
    <row r="104" spans="1:11" s="234" customFormat="1" hidden="1" outlineLevel="2">
      <c r="A104" s="233" t="s">
        <v>2</v>
      </c>
      <c r="C104" s="237" t="s">
        <v>442</v>
      </c>
      <c r="D104" s="237"/>
      <c r="E104" s="237"/>
      <c r="F104" s="238"/>
      <c r="H104" s="238"/>
      <c r="J104" s="238"/>
    </row>
    <row r="105" spans="1:11" s="234" customFormat="1" hidden="1" outlineLevel="2">
      <c r="A105" s="233" t="s">
        <v>2</v>
      </c>
      <c r="C105" s="232" t="s">
        <v>281</v>
      </c>
      <c r="D105" s="237"/>
      <c r="E105" s="237"/>
      <c r="F105" s="238"/>
      <c r="H105" s="238"/>
      <c r="J105" s="238"/>
    </row>
    <row r="106" spans="1:11" s="234" customFormat="1" hidden="1" outlineLevel="2">
      <c r="A106" s="233" t="s">
        <v>347</v>
      </c>
      <c r="C106" s="239" t="s">
        <v>475</v>
      </c>
      <c r="D106" s="235"/>
      <c r="F106" s="49"/>
      <c r="H106" s="49"/>
      <c r="J106" s="49"/>
    </row>
    <row r="107" spans="1:11" s="234" customFormat="1" hidden="1" outlineLevel="2">
      <c r="A107" s="233" t="s">
        <v>508</v>
      </c>
      <c r="C107" s="239" t="s">
        <v>413</v>
      </c>
      <c r="D107" s="235"/>
      <c r="F107" s="49"/>
      <c r="H107" s="49"/>
      <c r="J107" s="49"/>
    </row>
    <row r="108" spans="1:11" s="234" customFormat="1" hidden="1" outlineLevel="2">
      <c r="A108" s="233" t="s">
        <v>443</v>
      </c>
      <c r="C108" s="239" t="s">
        <v>414</v>
      </c>
      <c r="D108" s="235"/>
      <c r="F108" s="49"/>
      <c r="H108" s="49"/>
      <c r="J108" s="49"/>
    </row>
    <row r="109" spans="1:11" s="234" customFormat="1" hidden="1" outlineLevel="2">
      <c r="A109" s="233" t="s">
        <v>178</v>
      </c>
      <c r="C109" s="239" t="s">
        <v>509</v>
      </c>
      <c r="D109" s="235"/>
      <c r="F109" s="49"/>
      <c r="H109" s="49"/>
      <c r="J109" s="49"/>
    </row>
    <row r="110" spans="1:11" s="234" customFormat="1" hidden="1" outlineLevel="2">
      <c r="A110" s="233" t="s">
        <v>2</v>
      </c>
      <c r="C110" s="240"/>
      <c r="D110" s="240"/>
    </row>
    <row r="111" spans="1:11" s="234" customFormat="1" hidden="1" outlineLevel="2">
      <c r="A111" s="233" t="s">
        <v>64</v>
      </c>
      <c r="C111" s="241" t="s">
        <v>100</v>
      </c>
      <c r="D111" s="235"/>
      <c r="F111" s="49"/>
      <c r="H111" s="49"/>
      <c r="J111" s="49"/>
    </row>
    <row r="112" spans="1:11" collapsed="1">
      <c r="A112" s="220"/>
      <c r="C112" s="223" t="s">
        <v>282</v>
      </c>
      <c r="D112" s="224"/>
    </row>
    <row r="113" spans="1:11" hidden="1" outlineLevel="1">
      <c r="A113" s="220"/>
      <c r="C113" s="221" t="s">
        <v>65</v>
      </c>
      <c r="D113" s="224"/>
    </row>
    <row r="114" spans="1:11" hidden="1" outlineLevel="1">
      <c r="A114" s="220" t="s">
        <v>476</v>
      </c>
      <c r="C114" s="224" t="s">
        <v>215</v>
      </c>
      <c r="D114" s="224"/>
      <c r="F114" s="24" t="s">
        <v>2</v>
      </c>
      <c r="G114" s="212"/>
      <c r="H114" s="24" t="s">
        <v>2</v>
      </c>
      <c r="I114" s="212"/>
      <c r="J114" s="24" t="s">
        <v>2</v>
      </c>
      <c r="K114" s="212"/>
    </row>
    <row r="115" spans="1:11" hidden="1" outlineLevel="1">
      <c r="A115" s="220" t="s">
        <v>216</v>
      </c>
      <c r="C115" s="224" t="s">
        <v>510</v>
      </c>
      <c r="D115" s="224"/>
      <c r="F115" s="24" t="s">
        <v>2</v>
      </c>
      <c r="H115" s="24" t="s">
        <v>2</v>
      </c>
      <c r="J115" s="24" t="s">
        <v>2</v>
      </c>
    </row>
    <row r="116" spans="1:11" hidden="1" outlineLevel="1">
      <c r="A116" s="220"/>
      <c r="C116" s="221" t="s">
        <v>38</v>
      </c>
      <c r="D116" s="230"/>
    </row>
    <row r="117" spans="1:11" hidden="1" outlineLevel="1">
      <c r="A117" s="220" t="s">
        <v>477</v>
      </c>
      <c r="C117" s="224" t="s">
        <v>179</v>
      </c>
      <c r="D117" s="224"/>
      <c r="F117" s="24" t="s">
        <v>2</v>
      </c>
      <c r="G117" s="212"/>
      <c r="H117" s="24" t="s">
        <v>2</v>
      </c>
      <c r="I117" s="212"/>
      <c r="J117" s="24" t="s">
        <v>2</v>
      </c>
      <c r="K117" s="212"/>
    </row>
    <row r="118" spans="1:11" collapsed="1">
      <c r="A118" s="220"/>
      <c r="C118" s="223" t="s">
        <v>478</v>
      </c>
      <c r="D118" s="230"/>
    </row>
    <row r="119" spans="1:11" hidden="1" outlineLevel="1">
      <c r="A119" s="220" t="s">
        <v>180</v>
      </c>
      <c r="C119" s="242" t="s">
        <v>217</v>
      </c>
      <c r="E119" s="222"/>
      <c r="F119" s="8" t="s">
        <v>239</v>
      </c>
      <c r="H119" s="8" t="s">
        <v>239</v>
      </c>
      <c r="J119" s="8" t="s">
        <v>239</v>
      </c>
    </row>
    <row r="120" spans="1:11" hidden="1" outlineLevel="1">
      <c r="A120" s="220" t="s">
        <v>444</v>
      </c>
      <c r="C120" s="242" t="s">
        <v>39</v>
      </c>
      <c r="E120" s="222"/>
      <c r="F120" s="8" t="s">
        <v>239</v>
      </c>
      <c r="H120" s="8" t="s">
        <v>239</v>
      </c>
      <c r="J120" s="8" t="s">
        <v>239</v>
      </c>
    </row>
    <row r="121" spans="1:11" hidden="1" outlineLevel="1">
      <c r="A121" s="220" t="s">
        <v>330</v>
      </c>
      <c r="C121" s="242" t="s">
        <v>331</v>
      </c>
      <c r="E121" s="222"/>
      <c r="F121" s="8"/>
      <c r="H121" s="8"/>
      <c r="J121" s="8"/>
    </row>
    <row r="122" spans="1:11" hidden="1" outlineLevel="1">
      <c r="A122" s="220" t="s">
        <v>378</v>
      </c>
      <c r="C122" s="242" t="s">
        <v>415</v>
      </c>
      <c r="E122" s="222"/>
      <c r="F122" s="8" t="s">
        <v>402</v>
      </c>
      <c r="H122" s="8" t="s">
        <v>402</v>
      </c>
      <c r="J122" s="8" t="s">
        <v>239</v>
      </c>
    </row>
    <row r="123" spans="1:11" hidden="1" outlineLevel="1">
      <c r="A123" s="220" t="s">
        <v>379</v>
      </c>
      <c r="C123" s="242" t="s">
        <v>416</v>
      </c>
      <c r="E123" s="222"/>
      <c r="F123" s="8" t="s">
        <v>402</v>
      </c>
      <c r="H123" s="8" t="s">
        <v>402</v>
      </c>
      <c r="J123" s="8" t="s">
        <v>402</v>
      </c>
    </row>
    <row r="124" spans="1:11" hidden="1" outlineLevel="1">
      <c r="A124" s="220" t="s">
        <v>511</v>
      </c>
      <c r="C124" s="242" t="s">
        <v>348</v>
      </c>
      <c r="E124" s="222"/>
      <c r="F124" s="8" t="s">
        <v>402</v>
      </c>
      <c r="H124" s="8" t="s">
        <v>402</v>
      </c>
      <c r="J124" s="8" t="s">
        <v>402</v>
      </c>
    </row>
    <row r="125" spans="1:11" hidden="1" outlineLevel="1">
      <c r="A125" s="220" t="s">
        <v>462</v>
      </c>
      <c r="C125" s="242" t="s">
        <v>398</v>
      </c>
      <c r="E125" s="222"/>
      <c r="F125" s="8"/>
      <c r="H125" s="8"/>
      <c r="J125" s="8"/>
    </row>
    <row r="126" spans="1:11" hidden="1" outlineLevel="1">
      <c r="A126" s="220" t="s">
        <v>127</v>
      </c>
      <c r="C126" s="242" t="s">
        <v>162</v>
      </c>
      <c r="E126" s="222"/>
      <c r="F126" s="8"/>
      <c r="H126" s="8"/>
      <c r="J126" s="8"/>
    </row>
    <row r="127" spans="1:11" hidden="1" outlineLevel="1">
      <c r="A127" s="220" t="s">
        <v>559</v>
      </c>
      <c r="C127" s="242" t="s">
        <v>560</v>
      </c>
      <c r="E127" s="222"/>
      <c r="F127" s="227"/>
      <c r="H127" s="227"/>
      <c r="J127" s="227"/>
    </row>
    <row r="128" spans="1:11" hidden="1" outlineLevel="1">
      <c r="A128" s="220" t="s">
        <v>269</v>
      </c>
      <c r="C128" s="242" t="s">
        <v>299</v>
      </c>
      <c r="E128" s="222"/>
      <c r="F128" s="8"/>
      <c r="H128" s="8"/>
      <c r="J128" s="8"/>
    </row>
    <row r="129" spans="1:10" hidden="1" outlineLevel="1">
      <c r="A129" s="220"/>
      <c r="C129" s="242"/>
      <c r="E129" s="222"/>
    </row>
    <row r="130" spans="1:10" hidden="1" outlineLevel="1">
      <c r="A130" s="220" t="s">
        <v>136</v>
      </c>
      <c r="C130" s="242" t="s">
        <v>8</v>
      </c>
      <c r="D130" s="224"/>
      <c r="F130" s="8" t="s">
        <v>239</v>
      </c>
      <c r="H130" s="8" t="s">
        <v>239</v>
      </c>
      <c r="J130" s="8" t="s">
        <v>239</v>
      </c>
    </row>
    <row r="131" spans="1:10" hidden="1" outlineLevel="1">
      <c r="A131" s="220" t="s">
        <v>2</v>
      </c>
      <c r="C131" s="243" t="s">
        <v>135</v>
      </c>
      <c r="D131" s="243"/>
      <c r="E131" s="243"/>
      <c r="F131" s="244"/>
      <c r="H131" s="244"/>
      <c r="J131" s="244"/>
    </row>
    <row r="132" spans="1:10" hidden="1" outlineLevel="1">
      <c r="A132" s="220" t="s">
        <v>349</v>
      </c>
      <c r="C132" s="224" t="s">
        <v>445</v>
      </c>
      <c r="D132" s="224"/>
      <c r="F132" s="8" t="s">
        <v>239</v>
      </c>
      <c r="H132" s="8" t="s">
        <v>239</v>
      </c>
      <c r="J132" s="8" t="s">
        <v>239</v>
      </c>
    </row>
    <row r="133" spans="1:10" hidden="1" outlineLevel="1">
      <c r="A133" s="220" t="s">
        <v>181</v>
      </c>
      <c r="C133" s="224" t="s">
        <v>9</v>
      </c>
      <c r="D133" s="224"/>
      <c r="F133" s="8" t="s">
        <v>239</v>
      </c>
      <c r="H133" s="8" t="s">
        <v>239</v>
      </c>
      <c r="J133" s="8" t="s">
        <v>239</v>
      </c>
    </row>
    <row r="134" spans="1:10" hidden="1" outlineLevel="1">
      <c r="A134" s="220" t="s">
        <v>182</v>
      </c>
      <c r="C134" s="224" t="s">
        <v>243</v>
      </c>
      <c r="D134" s="224"/>
      <c r="F134" s="8" t="s">
        <v>239</v>
      </c>
      <c r="H134" s="8" t="s">
        <v>239</v>
      </c>
      <c r="J134" s="8" t="s">
        <v>239</v>
      </c>
    </row>
    <row r="135" spans="1:10" collapsed="1">
      <c r="A135" s="220" t="s">
        <v>2</v>
      </c>
      <c r="C135" s="223" t="s">
        <v>446</v>
      </c>
      <c r="D135" s="230"/>
    </row>
    <row r="136" spans="1:10" hidden="1" outlineLevel="1">
      <c r="A136" s="220" t="s">
        <v>447</v>
      </c>
      <c r="C136" s="202" t="s">
        <v>301</v>
      </c>
      <c r="E136" s="222"/>
      <c r="F136" s="40"/>
      <c r="H136" s="40"/>
      <c r="J136" s="40"/>
    </row>
    <row r="137" spans="1:10" hidden="1" outlineLevel="1">
      <c r="A137" s="220" t="s">
        <v>479</v>
      </c>
      <c r="C137" s="202" t="s">
        <v>101</v>
      </c>
      <c r="E137" s="222"/>
      <c r="F137" s="40"/>
      <c r="H137" s="40"/>
      <c r="J137" s="40"/>
    </row>
    <row r="138" spans="1:10" hidden="1" outlineLevel="1">
      <c r="A138" s="220" t="s">
        <v>183</v>
      </c>
      <c r="C138" s="202" t="s">
        <v>244</v>
      </c>
      <c r="E138" s="222"/>
      <c r="F138" s="40"/>
      <c r="H138" s="40"/>
      <c r="J138" s="40"/>
    </row>
    <row r="140" spans="1:10" s="218" customFormat="1">
      <c r="A140" s="217" t="s">
        <v>40</v>
      </c>
      <c r="C140" s="218" t="str">
        <f>"Axiom Query - " &amp; A140</f>
        <v>Axiom Query - [AQ2]</v>
      </c>
      <c r="E140" s="219"/>
    </row>
    <row r="141" spans="1:10">
      <c r="A141" s="220" t="s">
        <v>409</v>
      </c>
      <c r="C141" s="202" t="s">
        <v>97</v>
      </c>
      <c r="E141" s="207"/>
      <c r="F141" s="8"/>
      <c r="H141" s="8"/>
      <c r="J141" s="8" t="s">
        <v>155</v>
      </c>
    </row>
    <row r="142" spans="1:10">
      <c r="A142" s="220" t="s">
        <v>470</v>
      </c>
      <c r="C142" s="221" t="s">
        <v>173</v>
      </c>
      <c r="D142" s="221"/>
      <c r="E142" s="222"/>
      <c r="F142" s="8" t="s">
        <v>402</v>
      </c>
      <c r="H142" s="8" t="s">
        <v>402</v>
      </c>
      <c r="J142" s="8" t="s">
        <v>239</v>
      </c>
    </row>
    <row r="143" spans="1:10">
      <c r="A143" s="220"/>
      <c r="C143" s="223" t="s">
        <v>277</v>
      </c>
      <c r="D143" s="221"/>
      <c r="E143" s="222"/>
    </row>
    <row r="144" spans="1:10" outlineLevel="1">
      <c r="A144" s="220" t="s">
        <v>440</v>
      </c>
      <c r="C144" s="221" t="s">
        <v>32</v>
      </c>
      <c r="D144" s="221"/>
      <c r="E144" s="222"/>
      <c r="F144" s="8"/>
      <c r="H144" s="8"/>
      <c r="J144" s="8"/>
    </row>
    <row r="145" spans="1:11" outlineLevel="1">
      <c r="A145" s="220" t="s">
        <v>133</v>
      </c>
      <c r="C145" s="224" t="s">
        <v>210</v>
      </c>
      <c r="D145" s="224"/>
      <c r="E145" s="222"/>
      <c r="F145" s="8"/>
      <c r="H145" s="8"/>
      <c r="J145" s="23" t="str">
        <f>J77</f>
        <v>ACCT.BudgetType;ACCT.Acct;DEPT.Dept</v>
      </c>
    </row>
    <row r="146" spans="1:11" outlineLevel="1">
      <c r="A146" s="220" t="s">
        <v>278</v>
      </c>
      <c r="C146" s="224" t="s">
        <v>410</v>
      </c>
      <c r="D146" s="224"/>
      <c r="E146" s="222"/>
      <c r="F146" s="23" t="str">
        <f>IF(F145="","",F145)</f>
        <v/>
      </c>
      <c r="H146" s="23" t="str">
        <f>IF(H145="","",H145)</f>
        <v/>
      </c>
      <c r="J146" s="23" t="str">
        <f>IF(J145="","",J145)</f>
        <v>ACCT.BudgetType;ACCT.Acct;DEPT.Dept</v>
      </c>
    </row>
    <row r="147" spans="1:11" outlineLevel="1">
      <c r="A147" s="220" t="s">
        <v>240</v>
      </c>
      <c r="C147" s="224" t="s">
        <v>376</v>
      </c>
      <c r="D147" s="224"/>
      <c r="E147" s="222"/>
      <c r="F147" s="8"/>
      <c r="H147" s="8"/>
      <c r="J147" s="8"/>
    </row>
    <row r="148" spans="1:11" outlineLevel="1" collapsed="1">
      <c r="A148" s="220"/>
      <c r="C148" s="223" t="s">
        <v>298</v>
      </c>
      <c r="D148" s="224"/>
      <c r="E148" s="222"/>
    </row>
    <row r="149" spans="1:11" s="205" customFormat="1" ht="30.6" hidden="1" outlineLevel="2">
      <c r="A149" s="225" t="s">
        <v>61</v>
      </c>
      <c r="C149" s="224" t="s">
        <v>342</v>
      </c>
      <c r="D149" s="224"/>
      <c r="E149" s="226"/>
      <c r="F149" s="227"/>
      <c r="G149" s="228"/>
      <c r="H149" s="227"/>
      <c r="I149" s="228"/>
      <c r="J149" s="227" t="s">
        <v>164</v>
      </c>
      <c r="K149" s="229"/>
    </row>
    <row r="150" spans="1:11" hidden="1" outlineLevel="2">
      <c r="A150" s="220" t="s">
        <v>33</v>
      </c>
      <c r="C150" s="224" t="s">
        <v>279</v>
      </c>
      <c r="D150" s="224"/>
      <c r="E150" s="222"/>
      <c r="F150" s="227"/>
      <c r="H150" s="227"/>
      <c r="J150" s="227"/>
    </row>
    <row r="151" spans="1:11" hidden="1" outlineLevel="2">
      <c r="A151" s="220" t="s">
        <v>34</v>
      </c>
      <c r="C151" s="224" t="s">
        <v>211</v>
      </c>
      <c r="D151" s="224"/>
      <c r="E151" s="222"/>
      <c r="F151" s="227"/>
      <c r="H151" s="227"/>
      <c r="J151" s="227"/>
    </row>
    <row r="152" spans="1:11" hidden="1" outlineLevel="2">
      <c r="A152" s="220" t="s">
        <v>441</v>
      </c>
      <c r="C152" s="224" t="s">
        <v>174</v>
      </c>
      <c r="D152" s="224"/>
      <c r="E152" s="222"/>
      <c r="F152" s="227"/>
      <c r="H152" s="227"/>
      <c r="J152" s="227"/>
    </row>
    <row r="153" spans="1:11" outlineLevel="1">
      <c r="A153" s="220" t="s">
        <v>98</v>
      </c>
      <c r="C153" s="202" t="s">
        <v>377</v>
      </c>
      <c r="E153" s="222"/>
      <c r="F153" s="8" t="s">
        <v>402</v>
      </c>
      <c r="H153" s="8" t="s">
        <v>402</v>
      </c>
      <c r="J153" s="8" t="s">
        <v>402</v>
      </c>
    </row>
    <row r="154" spans="1:11" outlineLevel="1">
      <c r="A154" s="220" t="s">
        <v>35</v>
      </c>
      <c r="C154" s="202" t="s">
        <v>7</v>
      </c>
      <c r="D154" s="224"/>
      <c r="F154" s="8"/>
      <c r="H154" s="8"/>
      <c r="J154" s="8"/>
    </row>
    <row r="155" spans="1:11" outlineLevel="1">
      <c r="A155" s="220" t="s">
        <v>36</v>
      </c>
      <c r="C155" s="202" t="s">
        <v>62</v>
      </c>
      <c r="D155" s="224"/>
      <c r="F155" s="8"/>
      <c r="H155" s="8"/>
      <c r="J155" s="8"/>
    </row>
    <row r="156" spans="1:11" outlineLevel="1">
      <c r="A156" s="220" t="s">
        <v>85</v>
      </c>
      <c r="C156" s="202" t="s">
        <v>368</v>
      </c>
      <c r="D156" s="224"/>
      <c r="F156" s="8"/>
      <c r="H156" s="8"/>
      <c r="J156" s="8"/>
    </row>
    <row r="157" spans="1:11" outlineLevel="1">
      <c r="A157" s="220" t="s">
        <v>232</v>
      </c>
      <c r="C157" s="202" t="s">
        <v>233</v>
      </c>
      <c r="D157" s="224"/>
      <c r="F157" s="8"/>
      <c r="H157" s="8"/>
      <c r="J157" s="8"/>
    </row>
    <row r="158" spans="1:11" collapsed="1">
      <c r="A158" s="220"/>
      <c r="C158" s="223" t="s">
        <v>212</v>
      </c>
      <c r="D158" s="224"/>
    </row>
    <row r="159" spans="1:11" hidden="1" outlineLevel="1">
      <c r="A159" s="220" t="s">
        <v>343</v>
      </c>
      <c r="C159" s="224" t="s">
        <v>175</v>
      </c>
      <c r="E159" s="222"/>
      <c r="F159" s="8" t="s">
        <v>505</v>
      </c>
      <c r="H159" s="8" t="s">
        <v>505</v>
      </c>
      <c r="J159" s="8" t="s">
        <v>505</v>
      </c>
    </row>
    <row r="160" spans="1:11" hidden="1" outlineLevel="1">
      <c r="A160" s="220" t="s">
        <v>176</v>
      </c>
      <c r="C160" s="224" t="s">
        <v>471</v>
      </c>
      <c r="E160" s="222"/>
      <c r="F160" s="8" t="s">
        <v>402</v>
      </c>
      <c r="H160" s="8" t="s">
        <v>402</v>
      </c>
      <c r="J160" s="8" t="s">
        <v>402</v>
      </c>
    </row>
    <row r="161" spans="1:11" hidden="1" outlineLevel="1">
      <c r="A161" s="220" t="s">
        <v>241</v>
      </c>
      <c r="C161" s="224" t="s">
        <v>411</v>
      </c>
      <c r="E161" s="222"/>
      <c r="F161" s="8" t="s">
        <v>402</v>
      </c>
      <c r="H161" s="8" t="s">
        <v>402</v>
      </c>
      <c r="J161" s="8" t="s">
        <v>402</v>
      </c>
    </row>
    <row r="162" spans="1:11" hidden="1" outlineLevel="1">
      <c r="A162" s="220" t="s">
        <v>344</v>
      </c>
      <c r="C162" s="224" t="s">
        <v>506</v>
      </c>
      <c r="E162" s="222"/>
      <c r="F162" s="8" t="s">
        <v>239</v>
      </c>
      <c r="H162" s="8" t="s">
        <v>239</v>
      </c>
      <c r="J162" s="8" t="s">
        <v>402</v>
      </c>
    </row>
    <row r="163" spans="1:11" collapsed="1">
      <c r="A163" s="220"/>
      <c r="C163" s="223" t="s">
        <v>242</v>
      </c>
      <c r="D163" s="230"/>
    </row>
    <row r="164" spans="1:11" hidden="1" outlineLevel="1" collapsed="1">
      <c r="A164" s="220"/>
      <c r="C164" s="231" t="s">
        <v>99</v>
      </c>
      <c r="D164" s="230"/>
    </row>
    <row r="165" spans="1:11" hidden="1" outlineLevel="2">
      <c r="A165" s="220" t="s">
        <v>213</v>
      </c>
      <c r="C165" s="232" t="s">
        <v>177</v>
      </c>
      <c r="D165" s="224"/>
      <c r="F165" s="24" t="s">
        <v>350</v>
      </c>
      <c r="G165" s="212"/>
      <c r="H165" s="24" t="s">
        <v>350</v>
      </c>
      <c r="I165" s="212"/>
      <c r="J165" s="24" t="s">
        <v>546</v>
      </c>
      <c r="K165" s="212"/>
    </row>
    <row r="166" spans="1:11" hidden="1" outlineLevel="2">
      <c r="A166" s="220" t="s">
        <v>37</v>
      </c>
      <c r="C166" s="232" t="s">
        <v>134</v>
      </c>
      <c r="D166" s="224"/>
      <c r="F166" s="8" t="s">
        <v>10</v>
      </c>
      <c r="H166" s="8" t="s">
        <v>10</v>
      </c>
      <c r="J166" s="8" t="s">
        <v>412</v>
      </c>
    </row>
    <row r="167" spans="1:11" hidden="1" outlineLevel="2">
      <c r="A167" s="220" t="s">
        <v>345</v>
      </c>
      <c r="C167" s="232" t="s">
        <v>507</v>
      </c>
      <c r="D167" s="224"/>
      <c r="F167" s="8"/>
      <c r="H167" s="8"/>
      <c r="J167" s="8"/>
    </row>
    <row r="168" spans="1:11" hidden="1" outlineLevel="1" collapsed="1">
      <c r="A168" s="220"/>
      <c r="C168" s="231" t="s">
        <v>280</v>
      </c>
      <c r="D168" s="224"/>
    </row>
    <row r="169" spans="1:11" s="234" customFormat="1" hidden="1" outlineLevel="2">
      <c r="A169" s="233" t="s">
        <v>472</v>
      </c>
      <c r="C169" s="232" t="s">
        <v>214</v>
      </c>
      <c r="D169" s="235"/>
      <c r="F169" s="48" t="s">
        <v>218</v>
      </c>
      <c r="G169" s="236"/>
      <c r="H169" s="48" t="s">
        <v>218</v>
      </c>
      <c r="I169" s="236"/>
      <c r="J169" s="48" t="s">
        <v>547</v>
      </c>
    </row>
    <row r="170" spans="1:11" s="234" customFormat="1" hidden="1" outlineLevel="2">
      <c r="A170" s="233" t="s">
        <v>2</v>
      </c>
      <c r="C170" s="237" t="s">
        <v>135</v>
      </c>
      <c r="D170" s="237"/>
      <c r="E170" s="237"/>
      <c r="F170" s="238"/>
      <c r="H170" s="238"/>
      <c r="J170" s="238"/>
    </row>
    <row r="171" spans="1:11" s="234" customFormat="1" hidden="1" outlineLevel="2">
      <c r="A171" s="233" t="s">
        <v>346</v>
      </c>
      <c r="C171" s="232" t="s">
        <v>474</v>
      </c>
      <c r="D171" s="235"/>
      <c r="F171" s="49"/>
      <c r="H171" s="49"/>
      <c r="J171" s="49"/>
    </row>
    <row r="172" spans="1:11" s="234" customFormat="1" hidden="1" outlineLevel="2">
      <c r="A172" s="233" t="s">
        <v>2</v>
      </c>
      <c r="C172" s="237" t="s">
        <v>442</v>
      </c>
      <c r="D172" s="237"/>
      <c r="E172" s="237"/>
      <c r="F172" s="238"/>
      <c r="H172" s="238"/>
      <c r="J172" s="238"/>
    </row>
    <row r="173" spans="1:11" s="234" customFormat="1" hidden="1" outlineLevel="2">
      <c r="A173" s="233" t="s">
        <v>2</v>
      </c>
      <c r="C173" s="232" t="s">
        <v>281</v>
      </c>
      <c r="D173" s="237"/>
      <c r="E173" s="237"/>
      <c r="F173" s="238"/>
      <c r="H173" s="238"/>
      <c r="J173" s="238"/>
    </row>
    <row r="174" spans="1:11" s="234" customFormat="1" hidden="1" outlineLevel="2">
      <c r="A174" s="233" t="s">
        <v>347</v>
      </c>
      <c r="C174" s="239" t="s">
        <v>475</v>
      </c>
      <c r="D174" s="235"/>
      <c r="F174" s="49"/>
      <c r="H174" s="49"/>
      <c r="J174" s="49"/>
    </row>
    <row r="175" spans="1:11" s="234" customFormat="1" hidden="1" outlineLevel="2">
      <c r="A175" s="233" t="s">
        <v>508</v>
      </c>
      <c r="C175" s="239" t="s">
        <v>413</v>
      </c>
      <c r="D175" s="235"/>
      <c r="F175" s="49"/>
      <c r="H175" s="49"/>
      <c r="J175" s="49"/>
    </row>
    <row r="176" spans="1:11" s="234" customFormat="1" hidden="1" outlineLevel="2">
      <c r="A176" s="233" t="s">
        <v>443</v>
      </c>
      <c r="C176" s="239" t="s">
        <v>414</v>
      </c>
      <c r="D176" s="235"/>
      <c r="F176" s="49"/>
      <c r="H176" s="49"/>
      <c r="J176" s="49"/>
    </row>
    <row r="177" spans="1:11" s="234" customFormat="1" hidden="1" outlineLevel="2">
      <c r="A177" s="233" t="s">
        <v>178</v>
      </c>
      <c r="C177" s="239" t="s">
        <v>509</v>
      </c>
      <c r="D177" s="235"/>
      <c r="F177" s="49"/>
      <c r="H177" s="49"/>
      <c r="J177" s="49"/>
    </row>
    <row r="178" spans="1:11" s="234" customFormat="1" hidden="1" outlineLevel="2">
      <c r="A178" s="233" t="s">
        <v>2</v>
      </c>
      <c r="C178" s="240"/>
      <c r="D178" s="240"/>
    </row>
    <row r="179" spans="1:11" s="234" customFormat="1" hidden="1" outlineLevel="2">
      <c r="A179" s="233" t="s">
        <v>64</v>
      </c>
      <c r="C179" s="241" t="s">
        <v>100</v>
      </c>
      <c r="D179" s="235"/>
      <c r="F179" s="49"/>
      <c r="H179" s="49"/>
      <c r="J179" s="49"/>
    </row>
    <row r="180" spans="1:11" collapsed="1">
      <c r="A180" s="220"/>
      <c r="C180" s="223" t="s">
        <v>282</v>
      </c>
      <c r="D180" s="224"/>
    </row>
    <row r="181" spans="1:11" hidden="1" outlineLevel="1">
      <c r="A181" s="220"/>
      <c r="C181" s="221" t="s">
        <v>65</v>
      </c>
      <c r="D181" s="224"/>
    </row>
    <row r="182" spans="1:11" hidden="1" outlineLevel="1">
      <c r="A182" s="220" t="s">
        <v>476</v>
      </c>
      <c r="C182" s="224" t="s">
        <v>215</v>
      </c>
      <c r="D182" s="224"/>
      <c r="F182" s="24" t="s">
        <v>2</v>
      </c>
      <c r="G182" s="212"/>
      <c r="H182" s="24" t="s">
        <v>2</v>
      </c>
      <c r="I182" s="212"/>
      <c r="J182" s="24" t="s">
        <v>2</v>
      </c>
      <c r="K182" s="212"/>
    </row>
    <row r="183" spans="1:11" hidden="1" outlineLevel="1">
      <c r="A183" s="220" t="s">
        <v>216</v>
      </c>
      <c r="C183" s="224" t="s">
        <v>510</v>
      </c>
      <c r="D183" s="224"/>
      <c r="F183" s="24" t="s">
        <v>2</v>
      </c>
      <c r="H183" s="24" t="s">
        <v>2</v>
      </c>
      <c r="J183" s="24" t="s">
        <v>2</v>
      </c>
    </row>
    <row r="184" spans="1:11" hidden="1" outlineLevel="1">
      <c r="A184" s="220"/>
      <c r="C184" s="221" t="s">
        <v>38</v>
      </c>
      <c r="D184" s="230"/>
    </row>
    <row r="185" spans="1:11" hidden="1" outlineLevel="1">
      <c r="A185" s="220" t="s">
        <v>477</v>
      </c>
      <c r="C185" s="224" t="s">
        <v>179</v>
      </c>
      <c r="D185" s="224"/>
      <c r="F185" s="24" t="s">
        <v>2</v>
      </c>
      <c r="G185" s="212"/>
      <c r="H185" s="24" t="s">
        <v>2</v>
      </c>
      <c r="I185" s="212"/>
      <c r="J185" s="24" t="s">
        <v>2</v>
      </c>
      <c r="K185" s="212"/>
    </row>
    <row r="186" spans="1:11">
      <c r="A186" s="220"/>
      <c r="C186" s="223" t="s">
        <v>478</v>
      </c>
      <c r="D186" s="230"/>
    </row>
    <row r="187" spans="1:11" outlineLevel="1">
      <c r="A187" s="220" t="s">
        <v>180</v>
      </c>
      <c r="C187" s="242" t="s">
        <v>217</v>
      </c>
      <c r="E187" s="222"/>
      <c r="F187" s="8" t="s">
        <v>239</v>
      </c>
      <c r="H187" s="8" t="s">
        <v>239</v>
      </c>
      <c r="J187" s="8" t="s">
        <v>239</v>
      </c>
    </row>
    <row r="188" spans="1:11" outlineLevel="1">
      <c r="A188" s="220" t="s">
        <v>444</v>
      </c>
      <c r="C188" s="242" t="s">
        <v>39</v>
      </c>
      <c r="E188" s="222"/>
      <c r="F188" s="8" t="s">
        <v>239</v>
      </c>
      <c r="H188" s="8" t="s">
        <v>239</v>
      </c>
      <c r="J188" s="8" t="s">
        <v>239</v>
      </c>
    </row>
    <row r="189" spans="1:11" outlineLevel="1">
      <c r="A189" s="220" t="s">
        <v>330</v>
      </c>
      <c r="C189" s="242" t="s">
        <v>331</v>
      </c>
      <c r="E189" s="222"/>
      <c r="F189" s="8"/>
      <c r="H189" s="8"/>
      <c r="J189" s="8"/>
    </row>
    <row r="190" spans="1:11" outlineLevel="1">
      <c r="A190" s="220" t="s">
        <v>378</v>
      </c>
      <c r="C190" s="242" t="s">
        <v>415</v>
      </c>
      <c r="E190" s="222"/>
      <c r="F190" s="8" t="s">
        <v>402</v>
      </c>
      <c r="H190" s="8" t="s">
        <v>402</v>
      </c>
      <c r="J190" s="8" t="s">
        <v>239</v>
      </c>
    </row>
    <row r="191" spans="1:11" outlineLevel="1">
      <c r="A191" s="220" t="s">
        <v>379</v>
      </c>
      <c r="C191" s="242" t="s">
        <v>416</v>
      </c>
      <c r="E191" s="222"/>
      <c r="F191" s="8" t="s">
        <v>402</v>
      </c>
      <c r="H191" s="8" t="s">
        <v>402</v>
      </c>
      <c r="J191" s="8" t="s">
        <v>402</v>
      </c>
    </row>
    <row r="192" spans="1:11" outlineLevel="1">
      <c r="A192" s="220" t="s">
        <v>511</v>
      </c>
      <c r="C192" s="242" t="s">
        <v>348</v>
      </c>
      <c r="E192" s="222"/>
      <c r="F192" s="8" t="s">
        <v>402</v>
      </c>
      <c r="H192" s="8" t="s">
        <v>402</v>
      </c>
      <c r="J192" s="8" t="s">
        <v>402</v>
      </c>
    </row>
    <row r="193" spans="1:10" outlineLevel="1">
      <c r="A193" s="220" t="s">
        <v>462</v>
      </c>
      <c r="C193" s="242" t="s">
        <v>398</v>
      </c>
      <c r="E193" s="222"/>
      <c r="F193" s="8"/>
      <c r="H193" s="8"/>
      <c r="J193" s="8"/>
    </row>
    <row r="194" spans="1:10" outlineLevel="1">
      <c r="A194" s="220" t="s">
        <v>127</v>
      </c>
      <c r="C194" s="242" t="s">
        <v>162</v>
      </c>
      <c r="E194" s="222"/>
      <c r="F194" s="8"/>
      <c r="H194" s="8"/>
      <c r="J194" s="8"/>
    </row>
    <row r="195" spans="1:10" outlineLevel="1">
      <c r="A195" s="220" t="s">
        <v>559</v>
      </c>
      <c r="C195" s="242" t="s">
        <v>560</v>
      </c>
      <c r="E195" s="222"/>
      <c r="F195" s="227"/>
      <c r="H195" s="227"/>
      <c r="J195" s="227"/>
    </row>
    <row r="196" spans="1:10" outlineLevel="1">
      <c r="A196" s="220" t="s">
        <v>269</v>
      </c>
      <c r="C196" s="242" t="s">
        <v>299</v>
      </c>
      <c r="E196" s="222"/>
      <c r="F196" s="8"/>
      <c r="H196" s="8"/>
      <c r="J196" s="8"/>
    </row>
    <row r="197" spans="1:10" outlineLevel="1">
      <c r="A197" s="220"/>
      <c r="C197" s="242"/>
      <c r="E197" s="222"/>
    </row>
    <row r="198" spans="1:10" outlineLevel="1">
      <c r="A198" s="220" t="s">
        <v>136</v>
      </c>
      <c r="C198" s="224" t="s">
        <v>302</v>
      </c>
      <c r="D198" s="224"/>
      <c r="F198" s="8" t="s">
        <v>239</v>
      </c>
      <c r="H198" s="8" t="s">
        <v>239</v>
      </c>
      <c r="J198" s="8" t="s">
        <v>239</v>
      </c>
    </row>
    <row r="199" spans="1:10" outlineLevel="1">
      <c r="A199" s="220" t="s">
        <v>2</v>
      </c>
      <c r="C199" s="243" t="s">
        <v>135</v>
      </c>
      <c r="D199" s="243"/>
      <c r="E199" s="243"/>
      <c r="F199" s="244"/>
      <c r="H199" s="244"/>
      <c r="J199" s="244"/>
    </row>
    <row r="200" spans="1:10" outlineLevel="1">
      <c r="A200" s="220" t="s">
        <v>349</v>
      </c>
      <c r="C200" s="224" t="s">
        <v>445</v>
      </c>
      <c r="D200" s="224"/>
      <c r="F200" s="8" t="s">
        <v>239</v>
      </c>
      <c r="H200" s="8" t="s">
        <v>239</v>
      </c>
      <c r="J200" s="8" t="s">
        <v>239</v>
      </c>
    </row>
    <row r="201" spans="1:10" outlineLevel="1">
      <c r="A201" s="220" t="s">
        <v>181</v>
      </c>
      <c r="C201" s="224" t="s">
        <v>9</v>
      </c>
      <c r="D201" s="224"/>
      <c r="F201" s="8" t="s">
        <v>239</v>
      </c>
      <c r="H201" s="8" t="s">
        <v>239</v>
      </c>
      <c r="J201" s="8" t="s">
        <v>239</v>
      </c>
    </row>
    <row r="202" spans="1:10" outlineLevel="1">
      <c r="A202" s="220" t="s">
        <v>182</v>
      </c>
      <c r="C202" s="224" t="s">
        <v>243</v>
      </c>
      <c r="D202" s="224"/>
      <c r="F202" s="8" t="s">
        <v>239</v>
      </c>
      <c r="H202" s="8" t="s">
        <v>239</v>
      </c>
      <c r="J202" s="8" t="s">
        <v>239</v>
      </c>
    </row>
    <row r="203" spans="1:10" collapsed="1">
      <c r="A203" s="220" t="s">
        <v>2</v>
      </c>
      <c r="C203" s="223" t="s">
        <v>446</v>
      </c>
      <c r="D203" s="230"/>
    </row>
    <row r="204" spans="1:10" hidden="1" outlineLevel="1">
      <c r="A204" s="220" t="s">
        <v>447</v>
      </c>
      <c r="C204" s="202" t="s">
        <v>301</v>
      </c>
      <c r="E204" s="222"/>
      <c r="F204" s="40"/>
      <c r="H204" s="40"/>
      <c r="J204" s="40"/>
    </row>
    <row r="205" spans="1:10" hidden="1" outlineLevel="1">
      <c r="A205" s="220" t="s">
        <v>479</v>
      </c>
      <c r="C205" s="202" t="s">
        <v>101</v>
      </c>
      <c r="E205" s="222"/>
      <c r="F205" s="40"/>
      <c r="H205" s="40"/>
      <c r="J205" s="40"/>
    </row>
    <row r="206" spans="1:10" hidden="1" outlineLevel="1">
      <c r="A206" s="220" t="s">
        <v>183</v>
      </c>
      <c r="C206" s="202" t="s">
        <v>244</v>
      </c>
      <c r="E206" s="222"/>
      <c r="F206" s="40"/>
      <c r="H206" s="40"/>
      <c r="J206" s="40"/>
    </row>
    <row r="208" spans="1:10" s="218" customFormat="1">
      <c r="A208" s="217" t="s">
        <v>495</v>
      </c>
      <c r="C208" s="218" t="str">
        <f>"Axiom Query - " &amp; A208</f>
        <v>Axiom Query - [AQ3]</v>
      </c>
      <c r="E208" s="219"/>
    </row>
    <row r="209" spans="1:11">
      <c r="A209" s="220" t="s">
        <v>409</v>
      </c>
      <c r="C209" s="202" t="s">
        <v>97</v>
      </c>
      <c r="E209" s="207"/>
      <c r="F209" s="8"/>
      <c r="H209" s="8"/>
      <c r="J209" s="8" t="s">
        <v>317</v>
      </c>
    </row>
    <row r="210" spans="1:11">
      <c r="A210" s="220" t="s">
        <v>470</v>
      </c>
      <c r="C210" s="221" t="s">
        <v>173</v>
      </c>
      <c r="D210" s="221"/>
      <c r="E210" s="222"/>
      <c r="F210" s="8" t="s">
        <v>402</v>
      </c>
      <c r="H210" s="8" t="s">
        <v>402</v>
      </c>
      <c r="J210" s="8" t="s">
        <v>239</v>
      </c>
    </row>
    <row r="211" spans="1:11">
      <c r="A211" s="220"/>
      <c r="C211" s="223" t="s">
        <v>277</v>
      </c>
      <c r="D211" s="221"/>
      <c r="E211" s="222"/>
    </row>
    <row r="212" spans="1:11" outlineLevel="1">
      <c r="A212" s="220" t="s">
        <v>440</v>
      </c>
      <c r="C212" s="221" t="s">
        <v>32</v>
      </c>
      <c r="D212" s="221"/>
      <c r="E212" s="222"/>
      <c r="F212" s="8"/>
      <c r="H212" s="8"/>
      <c r="J212" s="8"/>
    </row>
    <row r="213" spans="1:11" outlineLevel="1">
      <c r="A213" s="220" t="s">
        <v>133</v>
      </c>
      <c r="C213" s="224" t="s">
        <v>210</v>
      </c>
      <c r="D213" s="224"/>
      <c r="E213" s="222"/>
      <c r="F213" s="8"/>
      <c r="H213" s="8"/>
      <c r="J213" s="23" t="str">
        <f>J77</f>
        <v>ACCT.BudgetType;ACCT.Acct;DEPT.Dept</v>
      </c>
    </row>
    <row r="214" spans="1:11" outlineLevel="1">
      <c r="A214" s="220" t="s">
        <v>278</v>
      </c>
      <c r="C214" s="224" t="s">
        <v>410</v>
      </c>
      <c r="D214" s="224"/>
      <c r="E214" s="222"/>
      <c r="F214" s="23" t="str">
        <f>IF(F213="","",F213)</f>
        <v/>
      </c>
      <c r="H214" s="23" t="str">
        <f>IF(H213="","",H213)</f>
        <v/>
      </c>
      <c r="J214" s="23" t="str">
        <f>IF(J213="","",J213)</f>
        <v>ACCT.BudgetType;ACCT.Acct;DEPT.Dept</v>
      </c>
    </row>
    <row r="215" spans="1:11" outlineLevel="1">
      <c r="A215" s="220" t="s">
        <v>240</v>
      </c>
      <c r="C215" s="224" t="s">
        <v>376</v>
      </c>
      <c r="D215" s="224"/>
      <c r="E215" s="222"/>
      <c r="F215" s="8"/>
      <c r="H215" s="8"/>
      <c r="J215" s="8"/>
    </row>
    <row r="216" spans="1:11" outlineLevel="1">
      <c r="A216" s="220"/>
      <c r="C216" s="223" t="s">
        <v>298</v>
      </c>
      <c r="D216" s="224"/>
      <c r="E216" s="222"/>
    </row>
    <row r="217" spans="1:11" s="205" customFormat="1" ht="40.799999999999997" outlineLevel="2">
      <c r="A217" s="225" t="s">
        <v>61</v>
      </c>
      <c r="C217" s="224" t="s">
        <v>342</v>
      </c>
      <c r="D217" s="224"/>
      <c r="E217" s="226"/>
      <c r="F217" s="227"/>
      <c r="G217" s="228"/>
      <c r="H217" s="227"/>
      <c r="I217" s="228"/>
      <c r="J217" s="227" t="s">
        <v>367</v>
      </c>
      <c r="K217" s="229"/>
    </row>
    <row r="218" spans="1:11" outlineLevel="2">
      <c r="A218" s="220" t="s">
        <v>33</v>
      </c>
      <c r="C218" s="224" t="s">
        <v>279</v>
      </c>
      <c r="D218" s="224"/>
      <c r="E218" s="222"/>
      <c r="F218" s="227"/>
      <c r="H218" s="227"/>
      <c r="J218" s="227"/>
    </row>
    <row r="219" spans="1:11" outlineLevel="2">
      <c r="A219" s="220" t="s">
        <v>34</v>
      </c>
      <c r="C219" s="224" t="s">
        <v>211</v>
      </c>
      <c r="D219" s="224"/>
      <c r="E219" s="222"/>
      <c r="F219" s="227"/>
      <c r="H219" s="227"/>
      <c r="J219" s="227"/>
    </row>
    <row r="220" spans="1:11" outlineLevel="2">
      <c r="A220" s="220" t="s">
        <v>441</v>
      </c>
      <c r="C220" s="224" t="s">
        <v>174</v>
      </c>
      <c r="D220" s="224"/>
      <c r="E220" s="222"/>
      <c r="F220" s="227"/>
      <c r="H220" s="227"/>
      <c r="J220" s="227"/>
    </row>
    <row r="221" spans="1:11" outlineLevel="1">
      <c r="A221" s="220" t="s">
        <v>98</v>
      </c>
      <c r="C221" s="202" t="s">
        <v>377</v>
      </c>
      <c r="E221" s="222"/>
      <c r="F221" s="8" t="s">
        <v>402</v>
      </c>
      <c r="H221" s="8" t="s">
        <v>402</v>
      </c>
      <c r="J221" s="8" t="s">
        <v>402</v>
      </c>
    </row>
    <row r="222" spans="1:11" outlineLevel="1">
      <c r="A222" s="220" t="s">
        <v>35</v>
      </c>
      <c r="C222" s="202" t="s">
        <v>7</v>
      </c>
      <c r="D222" s="224"/>
      <c r="F222" s="8"/>
      <c r="H222" s="8"/>
      <c r="J222" s="8"/>
    </row>
    <row r="223" spans="1:11" outlineLevel="1">
      <c r="A223" s="220" t="s">
        <v>36</v>
      </c>
      <c r="C223" s="202" t="s">
        <v>62</v>
      </c>
      <c r="D223" s="224"/>
      <c r="F223" s="8"/>
      <c r="H223" s="8"/>
      <c r="J223" s="8"/>
    </row>
    <row r="224" spans="1:11" outlineLevel="1">
      <c r="A224" s="220" t="s">
        <v>85</v>
      </c>
      <c r="C224" s="202" t="s">
        <v>368</v>
      </c>
      <c r="D224" s="224"/>
      <c r="F224" s="8"/>
      <c r="H224" s="8"/>
      <c r="J224" s="8"/>
    </row>
    <row r="225" spans="1:11" outlineLevel="1">
      <c r="A225" s="220" t="s">
        <v>232</v>
      </c>
      <c r="C225" s="202" t="s">
        <v>233</v>
      </c>
      <c r="D225" s="224"/>
      <c r="F225" s="8"/>
      <c r="H225" s="8"/>
      <c r="J225" s="8"/>
    </row>
    <row r="226" spans="1:11" collapsed="1">
      <c r="A226" s="220"/>
      <c r="C226" s="223" t="s">
        <v>212</v>
      </c>
      <c r="D226" s="224"/>
    </row>
    <row r="227" spans="1:11" hidden="1" outlineLevel="1">
      <c r="A227" s="220" t="s">
        <v>343</v>
      </c>
      <c r="C227" s="224" t="s">
        <v>175</v>
      </c>
      <c r="E227" s="222"/>
      <c r="F227" s="8" t="s">
        <v>505</v>
      </c>
      <c r="H227" s="8" t="s">
        <v>505</v>
      </c>
      <c r="J227" s="8" t="s">
        <v>505</v>
      </c>
    </row>
    <row r="228" spans="1:11" hidden="1" outlineLevel="1">
      <c r="A228" s="220" t="s">
        <v>176</v>
      </c>
      <c r="C228" s="224" t="s">
        <v>471</v>
      </c>
      <c r="E228" s="222"/>
      <c r="F228" s="8" t="s">
        <v>402</v>
      </c>
      <c r="H228" s="8" t="s">
        <v>402</v>
      </c>
      <c r="J228" s="8" t="s">
        <v>402</v>
      </c>
    </row>
    <row r="229" spans="1:11" hidden="1" outlineLevel="1">
      <c r="A229" s="220" t="s">
        <v>241</v>
      </c>
      <c r="C229" s="224" t="s">
        <v>411</v>
      </c>
      <c r="E229" s="222"/>
      <c r="F229" s="8" t="s">
        <v>402</v>
      </c>
      <c r="H229" s="8" t="s">
        <v>402</v>
      </c>
      <c r="J229" s="8" t="s">
        <v>402</v>
      </c>
    </row>
    <row r="230" spans="1:11" hidden="1" outlineLevel="1">
      <c r="A230" s="220" t="s">
        <v>344</v>
      </c>
      <c r="C230" s="224" t="s">
        <v>506</v>
      </c>
      <c r="E230" s="222"/>
      <c r="F230" s="8" t="s">
        <v>239</v>
      </c>
      <c r="H230" s="8" t="s">
        <v>239</v>
      </c>
      <c r="J230" s="8" t="s">
        <v>402</v>
      </c>
    </row>
    <row r="231" spans="1:11" collapsed="1">
      <c r="A231" s="220"/>
      <c r="C231" s="223" t="s">
        <v>242</v>
      </c>
      <c r="D231" s="230"/>
    </row>
    <row r="232" spans="1:11" hidden="1" outlineLevel="1" collapsed="1">
      <c r="A232" s="220"/>
      <c r="C232" s="231" t="s">
        <v>99</v>
      </c>
      <c r="D232" s="230"/>
    </row>
    <row r="233" spans="1:11" hidden="1" outlineLevel="2">
      <c r="A233" s="220" t="s">
        <v>213</v>
      </c>
      <c r="C233" s="232" t="s">
        <v>177</v>
      </c>
      <c r="D233" s="224"/>
      <c r="F233" s="24" t="s">
        <v>63</v>
      </c>
      <c r="G233" s="212" t="s">
        <v>2</v>
      </c>
      <c r="H233" s="24" t="s">
        <v>63</v>
      </c>
      <c r="I233" s="212" t="s">
        <v>2</v>
      </c>
      <c r="J233" s="24" t="s">
        <v>549</v>
      </c>
      <c r="K233" s="212" t="s">
        <v>2</v>
      </c>
    </row>
    <row r="234" spans="1:11" hidden="1" outlineLevel="2">
      <c r="A234" s="220" t="s">
        <v>37</v>
      </c>
      <c r="C234" s="232" t="s">
        <v>134</v>
      </c>
      <c r="D234" s="224"/>
      <c r="F234" s="8" t="s">
        <v>412</v>
      </c>
      <c r="H234" s="8" t="s">
        <v>412</v>
      </c>
      <c r="J234" s="8" t="s">
        <v>412</v>
      </c>
    </row>
    <row r="235" spans="1:11" hidden="1" outlineLevel="2">
      <c r="A235" s="220" t="s">
        <v>345</v>
      </c>
      <c r="C235" s="232" t="s">
        <v>507</v>
      </c>
      <c r="D235" s="224"/>
      <c r="F235" s="8"/>
      <c r="H235" s="8"/>
      <c r="J235" s="8"/>
    </row>
    <row r="236" spans="1:11" hidden="1" outlineLevel="1" collapsed="1">
      <c r="A236" s="220"/>
      <c r="C236" s="231" t="s">
        <v>280</v>
      </c>
      <c r="D236" s="224"/>
    </row>
    <row r="237" spans="1:11" s="234" customFormat="1" hidden="1" outlineLevel="2">
      <c r="A237" s="233" t="s">
        <v>472</v>
      </c>
      <c r="C237" s="232" t="s">
        <v>214</v>
      </c>
      <c r="D237" s="235"/>
      <c r="F237" s="48" t="s">
        <v>473</v>
      </c>
      <c r="G237" s="236" t="s">
        <v>2</v>
      </c>
      <c r="H237" s="48" t="s">
        <v>473</v>
      </c>
      <c r="I237" s="236" t="s">
        <v>2</v>
      </c>
      <c r="J237" s="48" t="s">
        <v>550</v>
      </c>
    </row>
    <row r="238" spans="1:11" s="234" customFormat="1" hidden="1" outlineLevel="2">
      <c r="A238" s="233"/>
      <c r="C238" s="237" t="s">
        <v>135</v>
      </c>
      <c r="D238" s="237"/>
      <c r="E238" s="237"/>
      <c r="F238" s="238"/>
      <c r="H238" s="238"/>
      <c r="J238" s="238"/>
    </row>
    <row r="239" spans="1:11" s="234" customFormat="1" hidden="1" outlineLevel="2">
      <c r="A239" s="233" t="s">
        <v>346</v>
      </c>
      <c r="C239" s="232" t="s">
        <v>474</v>
      </c>
      <c r="D239" s="235"/>
      <c r="F239" s="49"/>
      <c r="H239" s="49"/>
      <c r="J239" s="49"/>
    </row>
    <row r="240" spans="1:11" s="234" customFormat="1" hidden="1" outlineLevel="2">
      <c r="A240" s="233"/>
      <c r="C240" s="237" t="s">
        <v>442</v>
      </c>
      <c r="D240" s="237"/>
      <c r="E240" s="237"/>
      <c r="F240" s="238"/>
      <c r="H240" s="238"/>
      <c r="J240" s="238"/>
    </row>
    <row r="241" spans="1:11" s="234" customFormat="1" hidden="1" outlineLevel="2">
      <c r="A241" s="233"/>
      <c r="C241" s="232" t="s">
        <v>281</v>
      </c>
      <c r="D241" s="237"/>
      <c r="E241" s="237"/>
      <c r="F241" s="238"/>
      <c r="H241" s="238"/>
      <c r="J241" s="238"/>
    </row>
    <row r="242" spans="1:11" s="234" customFormat="1" hidden="1" outlineLevel="2">
      <c r="A242" s="233" t="s">
        <v>347</v>
      </c>
      <c r="C242" s="239" t="s">
        <v>475</v>
      </c>
      <c r="D242" s="235"/>
      <c r="F242" s="49"/>
      <c r="H242" s="49"/>
      <c r="J242" s="49"/>
    </row>
    <row r="243" spans="1:11" s="234" customFormat="1" hidden="1" outlineLevel="2">
      <c r="A243" s="233" t="s">
        <v>508</v>
      </c>
      <c r="C243" s="239" t="s">
        <v>413</v>
      </c>
      <c r="D243" s="235"/>
      <c r="F243" s="49"/>
      <c r="H243" s="49"/>
      <c r="J243" s="49"/>
    </row>
    <row r="244" spans="1:11" s="234" customFormat="1" hidden="1" outlineLevel="2">
      <c r="A244" s="233" t="s">
        <v>443</v>
      </c>
      <c r="C244" s="239" t="s">
        <v>414</v>
      </c>
      <c r="D244" s="235"/>
      <c r="F244" s="49"/>
      <c r="H244" s="49"/>
      <c r="J244" s="49"/>
    </row>
    <row r="245" spans="1:11" s="234" customFormat="1" hidden="1" outlineLevel="2">
      <c r="A245" s="233" t="s">
        <v>178</v>
      </c>
      <c r="C245" s="239" t="s">
        <v>509</v>
      </c>
      <c r="D245" s="235"/>
      <c r="F245" s="49"/>
      <c r="H245" s="49"/>
      <c r="J245" s="49"/>
    </row>
    <row r="246" spans="1:11" s="234" customFormat="1" hidden="1" outlineLevel="2">
      <c r="A246" s="233"/>
      <c r="C246" s="240"/>
      <c r="D246" s="240"/>
    </row>
    <row r="247" spans="1:11" s="234" customFormat="1" hidden="1" outlineLevel="2">
      <c r="A247" s="233" t="s">
        <v>64</v>
      </c>
      <c r="C247" s="241" t="s">
        <v>100</v>
      </c>
      <c r="D247" s="235"/>
      <c r="F247" s="49"/>
      <c r="H247" s="49"/>
      <c r="J247" s="49"/>
    </row>
    <row r="248" spans="1:11" collapsed="1">
      <c r="A248" s="220"/>
      <c r="C248" s="223" t="s">
        <v>282</v>
      </c>
      <c r="D248" s="224"/>
    </row>
    <row r="249" spans="1:11" hidden="1" outlineLevel="1">
      <c r="A249" s="220"/>
      <c r="C249" s="221" t="s">
        <v>65</v>
      </c>
      <c r="D249" s="224"/>
    </row>
    <row r="250" spans="1:11" hidden="1" outlineLevel="1">
      <c r="A250" s="220" t="s">
        <v>476</v>
      </c>
      <c r="C250" s="224" t="s">
        <v>215</v>
      </c>
      <c r="D250" s="224"/>
      <c r="F250" s="24" t="s">
        <v>2</v>
      </c>
      <c r="G250" s="212" t="s">
        <v>2</v>
      </c>
      <c r="H250" s="24" t="s">
        <v>2</v>
      </c>
      <c r="I250" s="212" t="s">
        <v>2</v>
      </c>
      <c r="J250" s="24" t="s">
        <v>2</v>
      </c>
      <c r="K250" s="212" t="s">
        <v>2</v>
      </c>
    </row>
    <row r="251" spans="1:11" hidden="1" outlineLevel="1">
      <c r="A251" s="220" t="s">
        <v>216</v>
      </c>
      <c r="C251" s="224" t="s">
        <v>510</v>
      </c>
      <c r="D251" s="224"/>
      <c r="F251" s="24" t="s">
        <v>2</v>
      </c>
      <c r="H251" s="24" t="s">
        <v>2</v>
      </c>
      <c r="J251" s="24" t="s">
        <v>2</v>
      </c>
    </row>
    <row r="252" spans="1:11" hidden="1" outlineLevel="1">
      <c r="A252" s="220"/>
      <c r="C252" s="221" t="s">
        <v>38</v>
      </c>
      <c r="D252" s="230"/>
    </row>
    <row r="253" spans="1:11" hidden="1" outlineLevel="1">
      <c r="A253" s="220" t="s">
        <v>477</v>
      </c>
      <c r="C253" s="224" t="s">
        <v>179</v>
      </c>
      <c r="D253" s="224"/>
      <c r="F253" s="24" t="s">
        <v>2</v>
      </c>
      <c r="G253" s="212" t="s">
        <v>2</v>
      </c>
      <c r="H253" s="24" t="s">
        <v>2</v>
      </c>
      <c r="I253" s="212" t="s">
        <v>2</v>
      </c>
      <c r="J253" s="24" t="s">
        <v>2</v>
      </c>
      <c r="K253" s="212" t="s">
        <v>2</v>
      </c>
    </row>
    <row r="254" spans="1:11" collapsed="1">
      <c r="A254" s="220"/>
      <c r="C254" s="223" t="s">
        <v>478</v>
      </c>
      <c r="D254" s="230"/>
    </row>
    <row r="255" spans="1:11" hidden="1" outlineLevel="1">
      <c r="A255" s="220" t="s">
        <v>180</v>
      </c>
      <c r="C255" s="242" t="s">
        <v>217</v>
      </c>
      <c r="E255" s="222"/>
      <c r="F255" s="8" t="s">
        <v>239</v>
      </c>
      <c r="H255" s="8" t="s">
        <v>239</v>
      </c>
      <c r="J255" s="8" t="s">
        <v>239</v>
      </c>
    </row>
    <row r="256" spans="1:11" hidden="1" outlineLevel="1">
      <c r="A256" s="220" t="s">
        <v>444</v>
      </c>
      <c r="C256" s="242" t="s">
        <v>39</v>
      </c>
      <c r="E256" s="222"/>
      <c r="F256" s="8" t="s">
        <v>239</v>
      </c>
      <c r="H256" s="8" t="s">
        <v>239</v>
      </c>
      <c r="J256" s="8" t="s">
        <v>239</v>
      </c>
    </row>
    <row r="257" spans="1:10" hidden="1" outlineLevel="1">
      <c r="A257" s="220" t="s">
        <v>330</v>
      </c>
      <c r="C257" s="242" t="s">
        <v>331</v>
      </c>
      <c r="E257" s="222"/>
      <c r="F257" s="8"/>
      <c r="H257" s="8"/>
      <c r="J257" s="8"/>
    </row>
    <row r="258" spans="1:10" hidden="1" outlineLevel="1">
      <c r="A258" s="220" t="s">
        <v>378</v>
      </c>
      <c r="C258" s="242" t="s">
        <v>415</v>
      </c>
      <c r="E258" s="222"/>
      <c r="F258" s="8" t="s">
        <v>402</v>
      </c>
      <c r="H258" s="8" t="s">
        <v>402</v>
      </c>
      <c r="J258" s="8" t="s">
        <v>239</v>
      </c>
    </row>
    <row r="259" spans="1:10" hidden="1" outlineLevel="1">
      <c r="A259" s="220" t="s">
        <v>379</v>
      </c>
      <c r="C259" s="242" t="s">
        <v>416</v>
      </c>
      <c r="E259" s="222"/>
      <c r="F259" s="8" t="s">
        <v>402</v>
      </c>
      <c r="H259" s="8" t="s">
        <v>402</v>
      </c>
      <c r="J259" s="8" t="s">
        <v>402</v>
      </c>
    </row>
    <row r="260" spans="1:10" hidden="1" outlineLevel="1">
      <c r="A260" s="220" t="s">
        <v>511</v>
      </c>
      <c r="C260" s="242" t="s">
        <v>348</v>
      </c>
      <c r="E260" s="222"/>
      <c r="F260" s="8" t="s">
        <v>402</v>
      </c>
      <c r="H260" s="8" t="s">
        <v>402</v>
      </c>
      <c r="J260" s="8" t="s">
        <v>402</v>
      </c>
    </row>
    <row r="261" spans="1:10" hidden="1" outlineLevel="1">
      <c r="A261" s="220" t="s">
        <v>462</v>
      </c>
      <c r="C261" s="242" t="s">
        <v>398</v>
      </c>
      <c r="E261" s="222"/>
      <c r="F261" s="8"/>
      <c r="H261" s="8"/>
      <c r="J261" s="8"/>
    </row>
    <row r="262" spans="1:10" hidden="1" outlineLevel="1">
      <c r="A262" s="220" t="s">
        <v>127</v>
      </c>
      <c r="C262" s="242" t="s">
        <v>162</v>
      </c>
      <c r="E262" s="222"/>
      <c r="F262" s="8"/>
      <c r="H262" s="8"/>
      <c r="J262" s="8"/>
    </row>
    <row r="263" spans="1:10" hidden="1" outlineLevel="1">
      <c r="A263" s="220" t="s">
        <v>559</v>
      </c>
      <c r="C263" s="242" t="s">
        <v>560</v>
      </c>
      <c r="E263" s="222"/>
      <c r="F263" s="227"/>
      <c r="H263" s="227"/>
      <c r="J263" s="227"/>
    </row>
    <row r="264" spans="1:10" hidden="1" outlineLevel="1">
      <c r="A264" s="220" t="s">
        <v>269</v>
      </c>
      <c r="C264" s="242" t="s">
        <v>299</v>
      </c>
      <c r="E264" s="222"/>
      <c r="F264" s="8"/>
      <c r="H264" s="8"/>
      <c r="J264" s="8"/>
    </row>
    <row r="265" spans="1:10" hidden="1" outlineLevel="1">
      <c r="A265" s="220"/>
      <c r="C265" s="242"/>
      <c r="E265" s="222"/>
    </row>
    <row r="266" spans="1:10" hidden="1" outlineLevel="1">
      <c r="A266" s="220" t="s">
        <v>136</v>
      </c>
      <c r="C266" s="242" t="s">
        <v>8</v>
      </c>
      <c r="D266" s="224"/>
      <c r="F266" s="8" t="s">
        <v>239</v>
      </c>
      <c r="H266" s="8" t="s">
        <v>239</v>
      </c>
      <c r="J266" s="8" t="s">
        <v>239</v>
      </c>
    </row>
    <row r="267" spans="1:10" hidden="1" outlineLevel="1">
      <c r="A267" s="220"/>
      <c r="C267" s="243" t="s">
        <v>135</v>
      </c>
      <c r="D267" s="243"/>
      <c r="E267" s="243"/>
      <c r="F267" s="244"/>
      <c r="H267" s="244"/>
      <c r="J267" s="244"/>
    </row>
    <row r="268" spans="1:10" hidden="1" outlineLevel="1">
      <c r="A268" s="220" t="s">
        <v>349</v>
      </c>
      <c r="C268" s="224" t="s">
        <v>445</v>
      </c>
      <c r="D268" s="224"/>
      <c r="F268" s="8" t="s">
        <v>239</v>
      </c>
      <c r="H268" s="8" t="s">
        <v>239</v>
      </c>
      <c r="J268" s="8" t="s">
        <v>239</v>
      </c>
    </row>
    <row r="269" spans="1:10" hidden="1" outlineLevel="1">
      <c r="A269" s="220" t="s">
        <v>181</v>
      </c>
      <c r="C269" s="224" t="s">
        <v>9</v>
      </c>
      <c r="D269" s="224"/>
      <c r="F269" s="8" t="s">
        <v>239</v>
      </c>
      <c r="H269" s="8" t="s">
        <v>239</v>
      </c>
      <c r="J269" s="8" t="s">
        <v>239</v>
      </c>
    </row>
    <row r="270" spans="1:10" hidden="1" outlineLevel="1">
      <c r="A270" s="220" t="s">
        <v>182</v>
      </c>
      <c r="C270" s="224" t="s">
        <v>243</v>
      </c>
      <c r="D270" s="224"/>
      <c r="F270" s="8" t="s">
        <v>239</v>
      </c>
      <c r="H270" s="8" t="s">
        <v>239</v>
      </c>
      <c r="J270" s="8" t="s">
        <v>239</v>
      </c>
    </row>
    <row r="271" spans="1:10" collapsed="1">
      <c r="A271" s="220"/>
      <c r="C271" s="223" t="s">
        <v>446</v>
      </c>
      <c r="D271" s="230"/>
    </row>
    <row r="272" spans="1:10" hidden="1" outlineLevel="1">
      <c r="A272" s="220" t="s">
        <v>447</v>
      </c>
      <c r="C272" s="202" t="s">
        <v>301</v>
      </c>
      <c r="E272" s="222"/>
      <c r="F272" s="40"/>
      <c r="H272" s="40"/>
      <c r="J272" s="40"/>
    </row>
    <row r="273" spans="1:11" hidden="1" outlineLevel="1">
      <c r="A273" s="220" t="s">
        <v>479</v>
      </c>
      <c r="C273" s="202" t="s">
        <v>101</v>
      </c>
      <c r="E273" s="222"/>
      <c r="F273" s="40"/>
      <c r="H273" s="40"/>
      <c r="J273" s="40"/>
    </row>
    <row r="274" spans="1:11" hidden="1" outlineLevel="1">
      <c r="A274" s="220" t="s">
        <v>183</v>
      </c>
      <c r="C274" s="202" t="s">
        <v>244</v>
      </c>
      <c r="E274" s="222"/>
      <c r="F274" s="40"/>
      <c r="H274" s="40"/>
      <c r="J274" s="40"/>
    </row>
    <row r="276" spans="1:11" s="218" customFormat="1">
      <c r="A276" s="217" t="s">
        <v>358</v>
      </c>
      <c r="C276" s="218" t="str">
        <f>"Axiom Query - " &amp; A276</f>
        <v>Axiom Query - [AQ4]</v>
      </c>
      <c r="E276" s="219"/>
    </row>
    <row r="277" spans="1:11">
      <c r="A277" s="220" t="s">
        <v>409</v>
      </c>
      <c r="C277" s="202" t="s">
        <v>97</v>
      </c>
      <c r="E277" s="207"/>
      <c r="F277" s="8"/>
      <c r="H277" s="8"/>
      <c r="J277" s="8" t="s">
        <v>50</v>
      </c>
    </row>
    <row r="278" spans="1:11">
      <c r="A278" s="220" t="s">
        <v>470</v>
      </c>
      <c r="C278" s="221" t="s">
        <v>173</v>
      </c>
      <c r="D278" s="221"/>
      <c r="E278" s="222"/>
      <c r="F278" s="8" t="s">
        <v>402</v>
      </c>
      <c r="H278" s="8" t="s">
        <v>402</v>
      </c>
      <c r="J278" s="8" t="s">
        <v>239</v>
      </c>
    </row>
    <row r="279" spans="1:11">
      <c r="A279" s="220"/>
      <c r="C279" s="223" t="s">
        <v>277</v>
      </c>
      <c r="D279" s="221"/>
      <c r="E279" s="222"/>
    </row>
    <row r="280" spans="1:11" outlineLevel="1">
      <c r="A280" s="220" t="s">
        <v>440</v>
      </c>
      <c r="C280" s="221" t="s">
        <v>32</v>
      </c>
      <c r="D280" s="221"/>
      <c r="E280" s="222"/>
      <c r="F280" s="8"/>
      <c r="H280" s="8"/>
      <c r="J280" s="8"/>
    </row>
    <row r="281" spans="1:11" outlineLevel="1">
      <c r="A281" s="220" t="s">
        <v>133</v>
      </c>
      <c r="C281" s="224" t="s">
        <v>210</v>
      </c>
      <c r="D281" s="224"/>
      <c r="E281" s="222"/>
      <c r="F281" s="8"/>
      <c r="H281" s="8"/>
      <c r="J281" s="23" t="str">
        <f>J145</f>
        <v>ACCT.BudgetType;ACCT.Acct;DEPT.Dept</v>
      </c>
    </row>
    <row r="282" spans="1:11" outlineLevel="1">
      <c r="A282" s="220" t="s">
        <v>278</v>
      </c>
      <c r="C282" s="224" t="s">
        <v>410</v>
      </c>
      <c r="D282" s="224"/>
      <c r="E282" s="222"/>
      <c r="F282" s="23" t="str">
        <f>IF(F281="","",F281)</f>
        <v/>
      </c>
      <c r="H282" s="23" t="str">
        <f>IF(H281="","",H281)</f>
        <v/>
      </c>
      <c r="J282" s="23" t="str">
        <f>IF(J281="","",J281)</f>
        <v>ACCT.BudgetType;ACCT.Acct;DEPT.Dept</v>
      </c>
    </row>
    <row r="283" spans="1:11" outlineLevel="1">
      <c r="A283" s="220" t="s">
        <v>240</v>
      </c>
      <c r="C283" s="224" t="s">
        <v>376</v>
      </c>
      <c r="D283" s="224"/>
      <c r="E283" s="222"/>
      <c r="F283" s="8"/>
      <c r="H283" s="8"/>
      <c r="J283" s="8"/>
    </row>
    <row r="284" spans="1:11" outlineLevel="1">
      <c r="A284" s="220"/>
      <c r="C284" s="223" t="s">
        <v>298</v>
      </c>
      <c r="D284" s="224"/>
      <c r="E284" s="222"/>
    </row>
    <row r="285" spans="1:11" s="205" customFormat="1" ht="20.399999999999999" outlineLevel="2">
      <c r="A285" s="225" t="s">
        <v>61</v>
      </c>
      <c r="C285" s="224" t="s">
        <v>342</v>
      </c>
      <c r="D285" s="224"/>
      <c r="E285" s="226"/>
      <c r="F285" s="227"/>
      <c r="G285" s="228"/>
      <c r="H285" s="227"/>
      <c r="I285" s="228"/>
      <c r="J285" s="227" t="s">
        <v>565</v>
      </c>
      <c r="K285" s="229"/>
    </row>
    <row r="286" spans="1:11" outlineLevel="2">
      <c r="A286" s="220" t="s">
        <v>33</v>
      </c>
      <c r="C286" s="224" t="s">
        <v>279</v>
      </c>
      <c r="D286" s="224"/>
      <c r="E286" s="222"/>
      <c r="F286" s="227"/>
      <c r="H286" s="227"/>
      <c r="J286" s="227"/>
    </row>
    <row r="287" spans="1:11" outlineLevel="2">
      <c r="A287" s="220" t="s">
        <v>34</v>
      </c>
      <c r="C287" s="224" t="s">
        <v>211</v>
      </c>
      <c r="D287" s="224"/>
      <c r="E287" s="222"/>
      <c r="F287" s="227"/>
      <c r="H287" s="227"/>
      <c r="J287" s="227"/>
    </row>
    <row r="288" spans="1:11" outlineLevel="2">
      <c r="A288" s="220" t="s">
        <v>441</v>
      </c>
      <c r="C288" s="224" t="s">
        <v>174</v>
      </c>
      <c r="D288" s="224"/>
      <c r="E288" s="222"/>
      <c r="F288" s="227"/>
      <c r="H288" s="227"/>
      <c r="J288" s="227"/>
    </row>
    <row r="289" spans="1:11" outlineLevel="1">
      <c r="A289" s="220" t="s">
        <v>98</v>
      </c>
      <c r="C289" s="202" t="s">
        <v>377</v>
      </c>
      <c r="E289" s="222"/>
      <c r="F289" s="8" t="s">
        <v>402</v>
      </c>
      <c r="H289" s="8" t="s">
        <v>402</v>
      </c>
      <c r="J289" s="8" t="s">
        <v>402</v>
      </c>
    </row>
    <row r="290" spans="1:11" outlineLevel="1">
      <c r="A290" s="220" t="s">
        <v>35</v>
      </c>
      <c r="C290" s="202" t="s">
        <v>7</v>
      </c>
      <c r="D290" s="224"/>
      <c r="F290" s="8"/>
      <c r="H290" s="8"/>
      <c r="J290" s="8"/>
    </row>
    <row r="291" spans="1:11" outlineLevel="1">
      <c r="A291" s="220" t="s">
        <v>36</v>
      </c>
      <c r="C291" s="202" t="s">
        <v>62</v>
      </c>
      <c r="D291" s="224"/>
      <c r="F291" s="8"/>
      <c r="H291" s="8"/>
      <c r="J291" s="8"/>
    </row>
    <row r="292" spans="1:11" outlineLevel="1">
      <c r="A292" s="220" t="s">
        <v>85</v>
      </c>
      <c r="C292" s="202" t="s">
        <v>368</v>
      </c>
      <c r="D292" s="224"/>
      <c r="F292" s="8"/>
      <c r="H292" s="8"/>
      <c r="J292" s="8"/>
    </row>
    <row r="293" spans="1:11" outlineLevel="1">
      <c r="A293" s="220" t="s">
        <v>232</v>
      </c>
      <c r="C293" s="202" t="s">
        <v>233</v>
      </c>
      <c r="D293" s="224"/>
      <c r="F293" s="8"/>
      <c r="H293" s="8"/>
      <c r="J293" s="8"/>
    </row>
    <row r="294" spans="1:11" collapsed="1">
      <c r="A294" s="220"/>
      <c r="C294" s="223" t="s">
        <v>212</v>
      </c>
      <c r="D294" s="224"/>
    </row>
    <row r="295" spans="1:11" hidden="1" outlineLevel="1">
      <c r="A295" s="220" t="s">
        <v>343</v>
      </c>
      <c r="C295" s="224" t="s">
        <v>175</v>
      </c>
      <c r="E295" s="222"/>
      <c r="F295" s="8" t="s">
        <v>505</v>
      </c>
      <c r="H295" s="8" t="s">
        <v>505</v>
      </c>
      <c r="J295" s="8" t="s">
        <v>505</v>
      </c>
    </row>
    <row r="296" spans="1:11" hidden="1" outlineLevel="1">
      <c r="A296" s="220" t="s">
        <v>176</v>
      </c>
      <c r="C296" s="224" t="s">
        <v>471</v>
      </c>
      <c r="E296" s="222"/>
      <c r="F296" s="8" t="s">
        <v>402</v>
      </c>
      <c r="H296" s="8" t="s">
        <v>402</v>
      </c>
      <c r="J296" s="8" t="s">
        <v>402</v>
      </c>
    </row>
    <row r="297" spans="1:11" hidden="1" outlineLevel="1">
      <c r="A297" s="220" t="s">
        <v>241</v>
      </c>
      <c r="C297" s="224" t="s">
        <v>411</v>
      </c>
      <c r="E297" s="222"/>
      <c r="F297" s="8" t="s">
        <v>402</v>
      </c>
      <c r="H297" s="8" t="s">
        <v>402</v>
      </c>
      <c r="J297" s="8" t="s">
        <v>402</v>
      </c>
    </row>
    <row r="298" spans="1:11" hidden="1" outlineLevel="1">
      <c r="A298" s="220" t="s">
        <v>344</v>
      </c>
      <c r="C298" s="224" t="s">
        <v>506</v>
      </c>
      <c r="E298" s="222"/>
      <c r="F298" s="8" t="s">
        <v>239</v>
      </c>
      <c r="H298" s="8" t="s">
        <v>239</v>
      </c>
      <c r="J298" s="8" t="s">
        <v>402</v>
      </c>
    </row>
    <row r="299" spans="1:11" collapsed="1">
      <c r="A299" s="220"/>
      <c r="C299" s="223" t="s">
        <v>242</v>
      </c>
      <c r="D299" s="230"/>
    </row>
    <row r="300" spans="1:11" hidden="1" outlineLevel="1" collapsed="1">
      <c r="A300" s="220"/>
      <c r="C300" s="231" t="s">
        <v>99</v>
      </c>
      <c r="D300" s="230"/>
    </row>
    <row r="301" spans="1:11" hidden="1" outlineLevel="2">
      <c r="A301" s="220" t="s">
        <v>213</v>
      </c>
      <c r="C301" s="232" t="s">
        <v>177</v>
      </c>
      <c r="D301" s="224"/>
      <c r="F301" s="24" t="s">
        <v>63</v>
      </c>
      <c r="G301" s="212" t="s">
        <v>2</v>
      </c>
      <c r="H301" s="24" t="s">
        <v>63</v>
      </c>
      <c r="I301" s="212" t="s">
        <v>2</v>
      </c>
      <c r="J301" s="24" t="s">
        <v>552</v>
      </c>
      <c r="K301" s="212" t="s">
        <v>2</v>
      </c>
    </row>
    <row r="302" spans="1:11" hidden="1" outlineLevel="2">
      <c r="A302" s="220" t="s">
        <v>37</v>
      </c>
      <c r="C302" s="232" t="s">
        <v>134</v>
      </c>
      <c r="D302" s="224"/>
      <c r="F302" s="8" t="s">
        <v>412</v>
      </c>
      <c r="H302" s="8" t="s">
        <v>412</v>
      </c>
      <c r="J302" s="8" t="s">
        <v>412</v>
      </c>
    </row>
    <row r="303" spans="1:11" hidden="1" outlineLevel="2">
      <c r="A303" s="220" t="s">
        <v>345</v>
      </c>
      <c r="C303" s="232" t="s">
        <v>507</v>
      </c>
      <c r="D303" s="224"/>
      <c r="F303" s="8"/>
      <c r="H303" s="8"/>
      <c r="J303" s="8"/>
    </row>
    <row r="304" spans="1:11" hidden="1" outlineLevel="1" collapsed="1">
      <c r="A304" s="220"/>
      <c r="C304" s="231" t="s">
        <v>280</v>
      </c>
      <c r="D304" s="224"/>
    </row>
    <row r="305" spans="1:11" s="234" customFormat="1" hidden="1" outlineLevel="2">
      <c r="A305" s="233" t="s">
        <v>472</v>
      </c>
      <c r="C305" s="232" t="s">
        <v>214</v>
      </c>
      <c r="D305" s="235"/>
      <c r="F305" s="48" t="s">
        <v>473</v>
      </c>
      <c r="G305" s="236" t="s">
        <v>2</v>
      </c>
      <c r="H305" s="48" t="s">
        <v>473</v>
      </c>
      <c r="I305" s="236" t="s">
        <v>2</v>
      </c>
      <c r="J305" s="48" t="s">
        <v>553</v>
      </c>
    </row>
    <row r="306" spans="1:11" s="234" customFormat="1" hidden="1" outlineLevel="2">
      <c r="A306" s="233"/>
      <c r="C306" s="237" t="s">
        <v>135</v>
      </c>
      <c r="D306" s="237"/>
      <c r="E306" s="237"/>
      <c r="F306" s="238"/>
      <c r="H306" s="238"/>
      <c r="J306" s="238"/>
    </row>
    <row r="307" spans="1:11" s="234" customFormat="1" hidden="1" outlineLevel="2">
      <c r="A307" s="233" t="s">
        <v>346</v>
      </c>
      <c r="C307" s="232" t="s">
        <v>474</v>
      </c>
      <c r="D307" s="235"/>
      <c r="F307" s="49"/>
      <c r="H307" s="49"/>
      <c r="J307" s="49"/>
    </row>
    <row r="308" spans="1:11" s="234" customFormat="1" hidden="1" outlineLevel="2">
      <c r="A308" s="233"/>
      <c r="C308" s="237" t="s">
        <v>442</v>
      </c>
      <c r="D308" s="237"/>
      <c r="E308" s="237"/>
      <c r="F308" s="238"/>
      <c r="H308" s="238"/>
      <c r="J308" s="238"/>
    </row>
    <row r="309" spans="1:11" s="234" customFormat="1" hidden="1" outlineLevel="2">
      <c r="A309" s="233"/>
      <c r="C309" s="232" t="s">
        <v>281</v>
      </c>
      <c r="D309" s="237"/>
      <c r="E309" s="237"/>
      <c r="F309" s="238"/>
      <c r="H309" s="238"/>
      <c r="J309" s="238"/>
    </row>
    <row r="310" spans="1:11" s="234" customFormat="1" hidden="1" outlineLevel="2">
      <c r="A310" s="233" t="s">
        <v>347</v>
      </c>
      <c r="C310" s="239" t="s">
        <v>475</v>
      </c>
      <c r="D310" s="235"/>
      <c r="F310" s="49"/>
      <c r="H310" s="49"/>
      <c r="J310" s="49"/>
    </row>
    <row r="311" spans="1:11" s="234" customFormat="1" hidden="1" outlineLevel="2">
      <c r="A311" s="233" t="s">
        <v>508</v>
      </c>
      <c r="C311" s="239" t="s">
        <v>413</v>
      </c>
      <c r="D311" s="235"/>
      <c r="F311" s="49"/>
      <c r="H311" s="49"/>
      <c r="J311" s="49"/>
    </row>
    <row r="312" spans="1:11" s="234" customFormat="1" hidden="1" outlineLevel="2">
      <c r="A312" s="233" t="s">
        <v>443</v>
      </c>
      <c r="C312" s="239" t="s">
        <v>414</v>
      </c>
      <c r="D312" s="235"/>
      <c r="F312" s="49"/>
      <c r="H312" s="49"/>
      <c r="J312" s="49"/>
    </row>
    <row r="313" spans="1:11" s="234" customFormat="1" hidden="1" outlineLevel="2">
      <c r="A313" s="233" t="s">
        <v>178</v>
      </c>
      <c r="C313" s="239" t="s">
        <v>509</v>
      </c>
      <c r="D313" s="235"/>
      <c r="F313" s="49"/>
      <c r="H313" s="49"/>
      <c r="J313" s="49"/>
    </row>
    <row r="314" spans="1:11" s="234" customFormat="1" hidden="1" outlineLevel="2">
      <c r="A314" s="233"/>
      <c r="C314" s="240"/>
      <c r="D314" s="240"/>
    </row>
    <row r="315" spans="1:11" s="234" customFormat="1" hidden="1" outlineLevel="2">
      <c r="A315" s="233" t="s">
        <v>64</v>
      </c>
      <c r="C315" s="241" t="s">
        <v>100</v>
      </c>
      <c r="D315" s="235"/>
      <c r="F315" s="49"/>
      <c r="H315" s="49"/>
      <c r="J315" s="49"/>
    </row>
    <row r="316" spans="1:11" collapsed="1">
      <c r="A316" s="220"/>
      <c r="C316" s="223" t="s">
        <v>282</v>
      </c>
      <c r="D316" s="224"/>
    </row>
    <row r="317" spans="1:11" hidden="1" outlineLevel="1">
      <c r="A317" s="220"/>
      <c r="C317" s="221" t="s">
        <v>65</v>
      </c>
      <c r="D317" s="224"/>
    </row>
    <row r="318" spans="1:11" hidden="1" outlineLevel="1">
      <c r="A318" s="220" t="s">
        <v>476</v>
      </c>
      <c r="C318" s="224" t="s">
        <v>215</v>
      </c>
      <c r="D318" s="224"/>
      <c r="F318" s="24" t="s">
        <v>2</v>
      </c>
      <c r="G318" s="212" t="s">
        <v>2</v>
      </c>
      <c r="H318" s="24" t="s">
        <v>2</v>
      </c>
      <c r="I318" s="212" t="s">
        <v>2</v>
      </c>
      <c r="J318" s="24" t="s">
        <v>2</v>
      </c>
      <c r="K318" s="212" t="s">
        <v>2</v>
      </c>
    </row>
    <row r="319" spans="1:11" hidden="1" outlineLevel="1">
      <c r="A319" s="220" t="s">
        <v>216</v>
      </c>
      <c r="C319" s="224" t="s">
        <v>510</v>
      </c>
      <c r="D319" s="224"/>
      <c r="F319" s="24" t="s">
        <v>2</v>
      </c>
      <c r="H319" s="24" t="s">
        <v>2</v>
      </c>
      <c r="J319" s="24" t="s">
        <v>2</v>
      </c>
    </row>
    <row r="320" spans="1:11" hidden="1" outlineLevel="1">
      <c r="A320" s="220"/>
      <c r="C320" s="221" t="s">
        <v>38</v>
      </c>
      <c r="D320" s="230"/>
    </row>
    <row r="321" spans="1:11" hidden="1" outlineLevel="1">
      <c r="A321" s="220" t="s">
        <v>477</v>
      </c>
      <c r="C321" s="224" t="s">
        <v>179</v>
      </c>
      <c r="D321" s="224"/>
      <c r="F321" s="24" t="s">
        <v>2</v>
      </c>
      <c r="G321" s="212" t="s">
        <v>2</v>
      </c>
      <c r="H321" s="24" t="s">
        <v>2</v>
      </c>
      <c r="I321" s="212" t="s">
        <v>2</v>
      </c>
      <c r="J321" s="24" t="s">
        <v>2</v>
      </c>
      <c r="K321" s="212" t="s">
        <v>2</v>
      </c>
    </row>
    <row r="322" spans="1:11" collapsed="1">
      <c r="A322" s="220"/>
      <c r="C322" s="223" t="s">
        <v>478</v>
      </c>
      <c r="D322" s="230"/>
    </row>
    <row r="323" spans="1:11" hidden="1" outlineLevel="1">
      <c r="A323" s="220" t="s">
        <v>180</v>
      </c>
      <c r="C323" s="242" t="s">
        <v>217</v>
      </c>
      <c r="E323" s="222"/>
      <c r="F323" s="8" t="s">
        <v>239</v>
      </c>
      <c r="H323" s="8" t="s">
        <v>239</v>
      </c>
      <c r="J323" s="8" t="s">
        <v>239</v>
      </c>
    </row>
    <row r="324" spans="1:11" hidden="1" outlineLevel="1">
      <c r="A324" s="220" t="s">
        <v>444</v>
      </c>
      <c r="C324" s="242" t="s">
        <v>39</v>
      </c>
      <c r="E324" s="222"/>
      <c r="F324" s="8" t="s">
        <v>239</v>
      </c>
      <c r="H324" s="8" t="s">
        <v>239</v>
      </c>
      <c r="J324" s="8" t="s">
        <v>239</v>
      </c>
    </row>
    <row r="325" spans="1:11" hidden="1" outlineLevel="1">
      <c r="A325" s="220" t="s">
        <v>330</v>
      </c>
      <c r="C325" s="242" t="s">
        <v>331</v>
      </c>
      <c r="E325" s="222"/>
      <c r="F325" s="8"/>
      <c r="H325" s="8"/>
      <c r="J325" s="8"/>
    </row>
    <row r="326" spans="1:11" hidden="1" outlineLevel="1">
      <c r="A326" s="220" t="s">
        <v>378</v>
      </c>
      <c r="C326" s="242" t="s">
        <v>415</v>
      </c>
      <c r="E326" s="222"/>
      <c r="F326" s="8" t="s">
        <v>402</v>
      </c>
      <c r="H326" s="8" t="s">
        <v>402</v>
      </c>
      <c r="J326" s="8" t="s">
        <v>239</v>
      </c>
    </row>
    <row r="327" spans="1:11" hidden="1" outlineLevel="1">
      <c r="A327" s="220" t="s">
        <v>379</v>
      </c>
      <c r="C327" s="242" t="s">
        <v>416</v>
      </c>
      <c r="E327" s="222"/>
      <c r="F327" s="8" t="s">
        <v>402</v>
      </c>
      <c r="H327" s="8" t="s">
        <v>402</v>
      </c>
      <c r="J327" s="8" t="s">
        <v>402</v>
      </c>
    </row>
    <row r="328" spans="1:11" hidden="1" outlineLevel="1">
      <c r="A328" s="220" t="s">
        <v>511</v>
      </c>
      <c r="C328" s="242" t="s">
        <v>348</v>
      </c>
      <c r="E328" s="222"/>
      <c r="F328" s="8" t="s">
        <v>402</v>
      </c>
      <c r="H328" s="8" t="s">
        <v>402</v>
      </c>
      <c r="J328" s="8" t="s">
        <v>402</v>
      </c>
    </row>
    <row r="329" spans="1:11" hidden="1" outlineLevel="1">
      <c r="A329" s="220" t="s">
        <v>462</v>
      </c>
      <c r="C329" s="242" t="s">
        <v>398</v>
      </c>
      <c r="E329" s="222"/>
      <c r="F329" s="8"/>
      <c r="H329" s="8"/>
      <c r="J329" s="8"/>
    </row>
    <row r="330" spans="1:11" hidden="1" outlineLevel="1">
      <c r="A330" s="220" t="s">
        <v>127</v>
      </c>
      <c r="C330" s="242" t="s">
        <v>162</v>
      </c>
      <c r="E330" s="222"/>
      <c r="F330" s="8"/>
      <c r="H330" s="8"/>
      <c r="J330" s="8"/>
    </row>
    <row r="331" spans="1:11" hidden="1" outlineLevel="1">
      <c r="A331" s="220" t="s">
        <v>559</v>
      </c>
      <c r="C331" s="242" t="s">
        <v>560</v>
      </c>
      <c r="E331" s="222"/>
      <c r="F331" s="227"/>
      <c r="H331" s="227"/>
      <c r="J331" s="227"/>
    </row>
    <row r="332" spans="1:11" hidden="1" outlineLevel="1">
      <c r="A332" s="220" t="s">
        <v>269</v>
      </c>
      <c r="C332" s="242" t="s">
        <v>299</v>
      </c>
      <c r="E332" s="222"/>
      <c r="F332" s="8"/>
      <c r="H332" s="8"/>
      <c r="J332" s="8"/>
    </row>
    <row r="333" spans="1:11" hidden="1" outlineLevel="1">
      <c r="A333" s="220"/>
      <c r="C333" s="242"/>
      <c r="E333" s="222"/>
    </row>
    <row r="334" spans="1:11" hidden="1" outlineLevel="1">
      <c r="A334" s="220" t="s">
        <v>136</v>
      </c>
      <c r="C334" s="242" t="s">
        <v>8</v>
      </c>
      <c r="D334" s="224"/>
      <c r="F334" s="8" t="s">
        <v>239</v>
      </c>
      <c r="H334" s="8" t="s">
        <v>239</v>
      </c>
      <c r="J334" s="8" t="s">
        <v>239</v>
      </c>
    </row>
    <row r="335" spans="1:11" hidden="1" outlineLevel="1">
      <c r="A335" s="220"/>
      <c r="C335" s="243" t="s">
        <v>135</v>
      </c>
      <c r="D335" s="243"/>
      <c r="E335" s="243"/>
      <c r="F335" s="244"/>
      <c r="H335" s="244"/>
      <c r="J335" s="244"/>
    </row>
    <row r="336" spans="1:11" hidden="1" outlineLevel="1">
      <c r="A336" s="220" t="s">
        <v>349</v>
      </c>
      <c r="C336" s="224" t="s">
        <v>445</v>
      </c>
      <c r="D336" s="224"/>
      <c r="F336" s="8" t="s">
        <v>239</v>
      </c>
      <c r="H336" s="8" t="s">
        <v>239</v>
      </c>
      <c r="J336" s="8" t="s">
        <v>239</v>
      </c>
    </row>
    <row r="337" spans="1:10" hidden="1" outlineLevel="1">
      <c r="A337" s="220" t="s">
        <v>181</v>
      </c>
      <c r="C337" s="224" t="s">
        <v>9</v>
      </c>
      <c r="D337" s="224"/>
      <c r="F337" s="8" t="s">
        <v>239</v>
      </c>
      <c r="H337" s="8" t="s">
        <v>239</v>
      </c>
      <c r="J337" s="8" t="s">
        <v>402</v>
      </c>
    </row>
    <row r="338" spans="1:10" hidden="1" outlineLevel="1">
      <c r="A338" s="220" t="s">
        <v>182</v>
      </c>
      <c r="C338" s="224" t="s">
        <v>243</v>
      </c>
      <c r="D338" s="224"/>
      <c r="F338" s="8" t="s">
        <v>239</v>
      </c>
      <c r="H338" s="8" t="s">
        <v>239</v>
      </c>
      <c r="J338" s="8" t="s">
        <v>402</v>
      </c>
    </row>
    <row r="339" spans="1:10" collapsed="1">
      <c r="A339" s="220"/>
      <c r="C339" s="223" t="s">
        <v>446</v>
      </c>
      <c r="D339" s="230"/>
    </row>
    <row r="340" spans="1:10" hidden="1" outlineLevel="1">
      <c r="A340" s="220" t="s">
        <v>447</v>
      </c>
      <c r="C340" s="202" t="s">
        <v>301</v>
      </c>
      <c r="E340" s="222"/>
      <c r="F340" s="40"/>
      <c r="H340" s="40"/>
      <c r="J340" s="40"/>
    </row>
    <row r="341" spans="1:10" hidden="1" outlineLevel="1">
      <c r="A341" s="220" t="s">
        <v>479</v>
      </c>
      <c r="C341" s="202" t="s">
        <v>101</v>
      </c>
      <c r="E341" s="222"/>
      <c r="F341" s="40"/>
      <c r="H341" s="40"/>
      <c r="J341" s="40"/>
    </row>
    <row r="342" spans="1:10" hidden="1" outlineLevel="1">
      <c r="A342" s="220" t="s">
        <v>183</v>
      </c>
      <c r="C342" s="202" t="s">
        <v>244</v>
      </c>
      <c r="E342" s="222"/>
      <c r="F342" s="40"/>
      <c r="H342" s="40"/>
      <c r="J342" s="40"/>
    </row>
    <row r="344" spans="1:10">
      <c r="C344" s="245" t="s">
        <v>11</v>
      </c>
    </row>
    <row r="345" spans="1:10">
      <c r="C345" s="245" t="s">
        <v>245</v>
      </c>
    </row>
  </sheetData>
  <sheetProtection formatCells="0" autoFilter="0"/>
  <dataValidations count="7">
    <dataValidation type="list" allowBlank="1" showInputMessage="1" showErrorMessage="1" sqref="C66" xr:uid="{85243B44-546A-47BC-8705-A641B807BE13}">
      <formula1>"By Table Type, By Table"</formula1>
    </dataValidation>
    <dataValidation type="list" allowBlank="1" showInputMessage="1" showErrorMessage="1" sqref="D22:D23" xr:uid="{335A113F-3E6E-4459-84C0-F4D0E6466363}">
      <formula1>"Off,Process,ProcessSilently"</formula1>
    </dataValidation>
    <dataValidation type="list" allowBlank="1" showInputMessage="1" showErrorMessage="1" sqref="D60" xr:uid="{A9B1C1B0-D2F8-4EB5-BFD7-4EBCCD73D5A4}">
      <formula1>"Off,OnManualRefreshOnly,OnOpenOnly,OnManualRefreshAndOpen"</formula1>
    </dataValidation>
    <dataValidation type="list" allowBlank="1" showInputMessage="1" showErrorMessage="1" sqref="F91 F159 H91 H159 J91 J159 F227 H227 J227 F295 H295 J295" xr:uid="{E9CD3935-E6A5-43E4-B58D-FE61BF3EB77B}">
      <formula1>"Insert,InsertRange"</formula1>
    </dataValidation>
    <dataValidation type="list" allowBlank="1" showInputMessage="1" showErrorMessage="1" sqref="F39 H39 J39" xr:uid="{E3BE2043-2DE3-4225-B631-E5A91F1E3912}">
      <formula1>"Visible,Hidden"</formula1>
    </dataValidation>
    <dataValidation type="list" allowBlank="1" showInputMessage="1" showErrorMessage="1" sqref="D18:D21 D24:D25 D28 D30 D32:D34 D58:D59 D61 F8:F10 F13 F16 F44:F45 F47 F56 F62:F63 F74 F85 F92:F94 F119:F124 F126 F130 F132:F134 F142 F153 F160:F162 F187:F192 F194 F198 F200:F202 H8:H10 H13 H16 H44:H45 H47 H56 H62:H63 H74 H85 H92:H94 H119:H124 H126 H130 H132:H134 H142 H153 H160:H162 H187:H192 H194 H198 H200:H202 J13 J16 J44:J45 J47 J56 J62:J63 J74 J85 J92:J94 J119:J124 J126 J130 J132:J134 J142 J153 J160:J162 J187:J192 J194 J198 J200:J202 F210 F221 F228:F230 F255:F260 F262 F266 F268:F270 H210 H221 H228:H230 H255:H260 H262 H266 H268:H270 J210 J221 J228:J230 J255:J260 J262 J266 J268:J270 F278 F289 F296:F298 F323:F328 F330 F334 F336:F338 H278 H289 H296:H298 H323:H328 H330 H334 H336:H338 J278 J289 J296:J298 J323:J328 J330 J334 J336:J338 F40:F41 H40:H41 J40:J41 J8:J10" xr:uid="{FCA9BC8C-A3DC-4D7C-B13E-9E6549E0434A}">
      <formula1>"Off,On"</formula1>
    </dataValidation>
    <dataValidation type="list" allowBlank="1" showInputMessage="1" showErrorMessage="1" sqref="C67:C70" xr:uid="{3CC67573-ACED-448A-AC24-42DE681EB048}">
      <formula1>"By TableType, By Table"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5"/>
  <sheetViews>
    <sheetView showGridLines="0" topLeftCell="D19" workbookViewId="0">
      <selection activeCell="H33" sqref="H33"/>
    </sheetView>
  </sheetViews>
  <sheetFormatPr defaultColWidth="8" defaultRowHeight="15"/>
  <cols>
    <col min="1" max="2" width="8" style="52" customWidth="1"/>
    <col min="3" max="3" width="15.19921875" style="52" customWidth="1"/>
    <col min="4" max="4" width="17.296875" style="52" customWidth="1"/>
    <col min="5" max="5" width="10.8984375" style="96" customWidth="1"/>
    <col min="6" max="6" width="10.8984375" style="52" customWidth="1"/>
    <col min="7" max="7" width="22.19921875" style="52" customWidth="1"/>
    <col min="8" max="8" width="39.5" style="168" customWidth="1"/>
    <col min="9" max="9" width="42.5" style="52" customWidth="1"/>
    <col min="10" max="10" width="18.8984375" style="52" bestFit="1" customWidth="1"/>
    <col min="11" max="11" width="13.3984375" style="52" bestFit="1" customWidth="1"/>
    <col min="12" max="12" width="18.8984375" style="52" bestFit="1" customWidth="1"/>
    <col min="13" max="15" width="7.59765625" style="52" customWidth="1"/>
    <col min="16" max="16" width="14.69921875" style="52" customWidth="1"/>
    <col min="17" max="17" width="22.19921875" style="52" customWidth="1"/>
    <col min="18" max="18" width="27.09765625" style="52" customWidth="1"/>
    <col min="19" max="19" width="8" style="52" customWidth="1"/>
    <col min="20" max="16384" width="8" style="52"/>
  </cols>
  <sheetData>
    <row r="1" spans="1:17">
      <c r="E1" s="52"/>
    </row>
    <row r="2" spans="1:17">
      <c r="E2" s="52"/>
    </row>
    <row r="3" spans="1:17">
      <c r="E3" s="52"/>
    </row>
    <row r="4" spans="1:17">
      <c r="E4" s="52"/>
    </row>
    <row r="5" spans="1:17">
      <c r="E5" s="52"/>
    </row>
    <row r="6" spans="1:17">
      <c r="E6" s="52"/>
      <c r="H6" s="168" t="s">
        <v>234</v>
      </c>
      <c r="I6" s="52" t="str">
        <f>ADDRESS(ROW(E8),COLUMN(E8),4)&amp;":"&amp;ADDRESS(ROW(I12),COLUMN(I12),4)</f>
        <v>E8:I12</v>
      </c>
    </row>
    <row r="7" spans="1:17" ht="9" customHeight="1">
      <c r="E7" s="52"/>
    </row>
    <row r="8" spans="1:17" s="96" customFormat="1">
      <c r="A8" s="52"/>
      <c r="B8" s="52"/>
      <c r="C8" s="52"/>
      <c r="D8" s="52"/>
      <c r="H8" s="160"/>
    </row>
    <row r="9" spans="1:17" s="136" customFormat="1">
      <c r="A9" s="52"/>
      <c r="B9" s="52"/>
      <c r="C9" s="52"/>
      <c r="D9" s="52"/>
      <c r="E9" s="96"/>
      <c r="H9" s="156"/>
    </row>
    <row r="10" spans="1:17" s="136" customFormat="1" ht="19.2">
      <c r="A10" s="52"/>
      <c r="B10" s="52"/>
      <c r="C10" s="52"/>
      <c r="D10" s="52"/>
      <c r="E10" s="96"/>
      <c r="H10" s="138" t="s">
        <v>380</v>
      </c>
      <c r="I10" s="155" t="s">
        <v>293</v>
      </c>
      <c r="J10" s="69" t="s">
        <v>457</v>
      </c>
      <c r="K10" s="69" t="s">
        <v>196</v>
      </c>
      <c r="L10" s="69" t="s">
        <v>530</v>
      </c>
      <c r="M10" s="69" t="s">
        <v>457</v>
      </c>
      <c r="N10" s="69" t="s">
        <v>196</v>
      </c>
      <c r="O10" s="69" t="s">
        <v>530</v>
      </c>
      <c r="P10" s="69" t="s">
        <v>457</v>
      </c>
      <c r="Q10" s="69" t="s">
        <v>196</v>
      </c>
    </row>
    <row r="11" spans="1:17" s="136" customFormat="1" ht="15.6" thickBot="1">
      <c r="A11" s="52"/>
      <c r="B11" s="52"/>
      <c r="C11" s="52"/>
      <c r="D11" s="52"/>
      <c r="E11" s="96"/>
      <c r="G11" s="136" t="s">
        <v>430</v>
      </c>
      <c r="H11" s="125" t="s">
        <v>332</v>
      </c>
      <c r="I11" s="132" t="s">
        <v>80</v>
      </c>
      <c r="J11" s="68" t="s">
        <v>80</v>
      </c>
      <c r="K11" s="68" t="s">
        <v>80</v>
      </c>
      <c r="L11" s="68" t="s">
        <v>188</v>
      </c>
      <c r="M11" s="68" t="s">
        <v>188</v>
      </c>
      <c r="N11" s="68" t="s">
        <v>188</v>
      </c>
      <c r="O11" s="68" t="s">
        <v>313</v>
      </c>
      <c r="P11" s="68" t="s">
        <v>313</v>
      </c>
      <c r="Q11" s="68" t="s">
        <v>313</v>
      </c>
    </row>
    <row r="12" spans="1:17" s="135" customFormat="1">
      <c r="E12" s="124"/>
      <c r="H12" s="128"/>
    </row>
    <row r="13" spans="1:17">
      <c r="G13" s="73" t="s">
        <v>271</v>
      </c>
      <c r="H13" s="71"/>
    </row>
    <row r="14" spans="1:17">
      <c r="H14" s="52"/>
      <c r="I14" s="130"/>
    </row>
    <row r="15" spans="1:17">
      <c r="H15" s="52" t="s">
        <v>351</v>
      </c>
      <c r="I15" s="29">
        <f>_xll.GetPeriod("System")</f>
        <v>8</v>
      </c>
    </row>
    <row r="16" spans="1:17">
      <c r="H16" s="168" t="s">
        <v>41</v>
      </c>
      <c r="I16" s="29">
        <f>_xll.GetPeriod("SystemYear")</f>
        <v>2020</v>
      </c>
      <c r="J16" s="29">
        <f>+I16-1</f>
        <v>2019</v>
      </c>
      <c r="K16" s="29">
        <f>+I16+1</f>
        <v>2021</v>
      </c>
      <c r="L16" s="29">
        <f>J16-1</f>
        <v>2018</v>
      </c>
    </row>
    <row r="17" spans="7:17">
      <c r="H17" s="168" t="s">
        <v>312</v>
      </c>
      <c r="I17" s="29" t="str">
        <f>_xll.GetData("Period.Month", "Code="&amp;$I$15)</f>
        <v>February</v>
      </c>
    </row>
    <row r="18" spans="7:17">
      <c r="H18" s="168" t="s">
        <v>492</v>
      </c>
      <c r="I18" s="29" t="str">
        <f>_xll.GetData("Period.CY_Month", "Code="&amp;$I$15)</f>
        <v>Feb-2020</v>
      </c>
      <c r="J18" s="29" t="str">
        <f>_xll.GetData("Period.LY_Month", "Code="&amp;$I$15)</f>
        <v>Feb-2019</v>
      </c>
      <c r="K18" s="29" t="str">
        <f>_xll.GetData("Period.NY_Month", "Code="&amp;$I$15)</f>
        <v>Feb-2021</v>
      </c>
    </row>
    <row r="19" spans="7:17">
      <c r="H19" s="168" t="s">
        <v>109</v>
      </c>
      <c r="I19" s="29" t="str">
        <f>_xll.GetData("SuiteVariables.Parameter", "Suite_INFO = 'ORGNAME'")</f>
        <v>KHA Health</v>
      </c>
    </row>
    <row r="20" spans="7:17">
      <c r="H20" s="168" t="s">
        <v>512</v>
      </c>
      <c r="I20" s="29" t="str">
        <f>"Period Ending "&amp;I17&amp;" "&amp;I16</f>
        <v>Period Ending February 2020</v>
      </c>
    </row>
    <row r="21" spans="7:17">
      <c r="H21" s="168" t="s">
        <v>113</v>
      </c>
      <c r="I21" s="29" t="str">
        <f>"Period Ending "&amp;_xll.GetData("Period.Month", "Code = "&amp;I15)&amp;" "&amp;_xll.GetData("Period.CYDays", "Code = "&amp;I15)&amp;", "&amp;_xll.GetData("Period.CY_yr", "Code = "&amp;I15)</f>
        <v>Period Ending February 29, 2020</v>
      </c>
    </row>
    <row r="22" spans="7:17">
      <c r="I22" s="153"/>
    </row>
    <row r="24" spans="7:17">
      <c r="H24" s="168" t="s">
        <v>114</v>
      </c>
      <c r="I24" s="57">
        <f>_xll.GetData("Period.CYFTE","Code="&amp;$I$15)</f>
        <v>167.561643835616</v>
      </c>
      <c r="J24" s="57">
        <f>_xll.GetData("Period.LYFTE","Code="&amp;$I$15)</f>
        <v>159.561643835616</v>
      </c>
      <c r="K24" s="57">
        <f>_xll.GetData("Period.NYFTE","Code="&amp;$I$15)</f>
        <v>159.561643835616</v>
      </c>
      <c r="L24" s="57">
        <f>_xll.GetData("Period.CYTDFTE","Code="&amp;$I$15)</f>
        <v>1392.7671232876701</v>
      </c>
      <c r="M24" s="57">
        <f>_xll.GetData("Period.LYTDFTE","Code="&amp;$I$15)</f>
        <v>1384.7671232876701</v>
      </c>
      <c r="N24" s="57">
        <f>_xll.GetData("Period.NYTDFTE","Code="&amp;$I$15)</f>
        <v>1384.7671232876701</v>
      </c>
      <c r="O24" s="57">
        <f>_xll.GetData("Period.CYTDFTE","Code=12")</f>
        <v>2088</v>
      </c>
      <c r="P24" s="57">
        <f>_xll.GetData("Period.LYTDFTE","Code=12")</f>
        <v>2080</v>
      </c>
      <c r="Q24" s="57">
        <f>_xll.GetData("Period.NYTDFTE","Code=12")</f>
        <v>2080</v>
      </c>
    </row>
    <row r="25" spans="7:17">
      <c r="H25" s="168" t="s">
        <v>525</v>
      </c>
      <c r="I25" s="57">
        <f>_xll.GetData("Period.CYDays","Code="&amp;$I$15)</f>
        <v>29</v>
      </c>
      <c r="J25" s="57">
        <f>_xll.GetData("Period.LYDays","Code="&amp;$I$15)</f>
        <v>28</v>
      </c>
      <c r="K25" s="57">
        <f>_xll.GetData("Period.NYDays", "Code="&amp;$I$15)</f>
        <v>28</v>
      </c>
      <c r="L25" s="57">
        <f>_xll.GetData("Period.CYTDDays","Code="&amp;$I$15)</f>
        <v>244</v>
      </c>
      <c r="M25" s="57">
        <f>_xll.GetData("Period.LYTDDays","Code="&amp;$I$15)</f>
        <v>243</v>
      </c>
      <c r="N25" s="57">
        <f>_xll.GetData("Period.NYTDDays","Code="&amp;$I$15)</f>
        <v>243</v>
      </c>
      <c r="O25" s="57">
        <f>_xll.GetData("Period.CYTDDays","Code=12")</f>
        <v>366</v>
      </c>
      <c r="P25" s="57">
        <f>_xll.GetData("Period.LYTDDays","Code=12")</f>
        <v>365</v>
      </c>
      <c r="Q25" s="57">
        <f>_xll.GetData("Period.NYTDDays","Code=12")</f>
        <v>365</v>
      </c>
    </row>
    <row r="26" spans="7:17">
      <c r="H26" s="168" t="s">
        <v>431</v>
      </c>
      <c r="I26" s="57">
        <f>_xll.GetData("Period.CYWKDays","Code="&amp;$I$15)</f>
        <v>20</v>
      </c>
      <c r="J26" s="57">
        <f>_xll.GetData("Period.LYWKDays","Code="&amp;$I$15)</f>
        <v>20</v>
      </c>
      <c r="K26" s="57">
        <f>_xll.GetData("Period.NYWKDays", "Code="&amp;$I$15)</f>
        <v>20</v>
      </c>
      <c r="L26" s="57">
        <f>_xll.GetData("Period.CYTDWKDays","Code="&amp;$I$15)</f>
        <v>179</v>
      </c>
      <c r="M26" s="57">
        <f>_xll.GetData("Period.LYTDWKDays","Code="&amp;$I$15)</f>
        <v>179</v>
      </c>
      <c r="N26" s="57">
        <f>_xll.GetData("Period.NYTDWKDays","Code="&amp;$I$15)</f>
        <v>179</v>
      </c>
      <c r="O26" s="57">
        <f>_xll.GetData("Period.CYTDWKDays","Code=12")</f>
        <v>269</v>
      </c>
      <c r="P26" s="57">
        <f>_xll.GetData("Period.LYTDWKDays","Code=12")</f>
        <v>269</v>
      </c>
      <c r="Q26" s="57">
        <f>_xll.GetData("Period.NYTDWKDays","Code=12")</f>
        <v>269</v>
      </c>
    </row>
    <row r="28" spans="7:17">
      <c r="G28" s="73" t="s">
        <v>151</v>
      </c>
      <c r="H28" s="71"/>
    </row>
    <row r="30" spans="7:17">
      <c r="H30" s="168" t="s">
        <v>417</v>
      </c>
      <c r="I30" s="29" t="b">
        <f>_xll.IsRunningMultipass()</f>
        <v>0</v>
      </c>
    </row>
    <row r="31" spans="7:17">
      <c r="H31" s="52" t="s">
        <v>448</v>
      </c>
      <c r="I31" s="29" t="str">
        <f>_xll.GetCurrentValue("Table")</f>
        <v/>
      </c>
    </row>
    <row r="32" spans="7:17">
      <c r="H32" s="52" t="s">
        <v>480</v>
      </c>
      <c r="I32" s="29" t="str">
        <f>_xll.GetCurrentValue("Column")</f>
        <v/>
      </c>
    </row>
    <row r="33" spans="7:12">
      <c r="H33" s="52" t="s">
        <v>436</v>
      </c>
      <c r="I33" s="29">
        <f>_xll.GetCurrentValue()</f>
        <v>27640</v>
      </c>
    </row>
    <row r="34" spans="7:12">
      <c r="H34" s="52" t="s">
        <v>184</v>
      </c>
      <c r="I34" s="29" t="str">
        <f>_xll.GetCurrentValue("Filter")</f>
        <v/>
      </c>
    </row>
    <row r="35" spans="7:12" ht="16.8">
      <c r="H35" s="52" t="s">
        <v>333</v>
      </c>
      <c r="I35" s="173" t="str">
        <f>_xll.GetCurrentValue("QuickFilter")</f>
        <v>None</v>
      </c>
    </row>
    <row r="36" spans="7:12" ht="16.8">
      <c r="H36" s="52" t="s">
        <v>491</v>
      </c>
      <c r="I36" s="173" t="str">
        <f>IF(I30=TRUE,I34,IF(I35="None","",I35))</f>
        <v/>
      </c>
    </row>
    <row r="37" spans="7:12" ht="16.8">
      <c r="G37" s="52" t="s">
        <v>393</v>
      </c>
      <c r="H37" s="52" t="str">
        <f>_xll.GetData("SuiteVariables.Description","Suite_INFO = '"&amp;G37&amp;"'")</f>
        <v>Budgeting File Processing Repository Output Folder</v>
      </c>
      <c r="I37" s="173" t="str">
        <f>_xll.GetData("SuiteVariables.Parameter", "Suite_INFO = '"&amp;$G37&amp;"'")</f>
        <v>\Axiom\Reports Library\Management Reporting Utilities\Report Distribution\SourceFiles</v>
      </c>
    </row>
    <row r="38" spans="7:12" ht="16.8">
      <c r="G38" s="52" t="s">
        <v>531</v>
      </c>
      <c r="H38" s="52" t="str">
        <f>_xll.GetData("SuiteVariables.Description","Suite_INFO = '"&amp;G38&amp;"'")</f>
        <v>Budgeting File Processing Local Output Folder</v>
      </c>
      <c r="I38" s="173" t="str">
        <f>_xll.GetData("SuiteVariables.Parameter", "Suite_INFO = '"&amp;$G38&amp;"'")</f>
        <v>C:\Temp</v>
      </c>
    </row>
    <row r="39" spans="7:12" ht="16.8">
      <c r="H39" s="52"/>
      <c r="I39" s="131"/>
    </row>
    <row r="40" spans="7:12">
      <c r="H40" s="52"/>
    </row>
    <row r="41" spans="7:12">
      <c r="G41" s="73" t="s">
        <v>360</v>
      </c>
      <c r="H41" s="71"/>
      <c r="I41" s="90" t="s">
        <v>41</v>
      </c>
      <c r="J41" s="90" t="s">
        <v>458</v>
      </c>
      <c r="K41" s="90" t="s">
        <v>156</v>
      </c>
      <c r="L41" s="90" t="s">
        <v>81</v>
      </c>
    </row>
    <row r="42" spans="7:12">
      <c r="H42" s="168" t="s">
        <v>115</v>
      </c>
      <c r="I42" s="29" t="str">
        <f t="shared" ref="I42:J42" si="0">"ACT"&amp;I$16</f>
        <v>ACT2020</v>
      </c>
      <c r="J42" s="29" t="str">
        <f t="shared" si="0"/>
        <v>ACT2019</v>
      </c>
      <c r="L42" s="29" t="str">
        <f>"ACT"&amp;L$16</f>
        <v>ACT2018</v>
      </c>
    </row>
    <row r="43" spans="7:12">
      <c r="H43" s="168" t="s">
        <v>322</v>
      </c>
      <c r="I43" s="29" t="str">
        <f t="shared" ref="I43:J43" si="1">"GLTRANSACTIONS_"&amp;I$16</f>
        <v>GLTRANSACTIONS_2020</v>
      </c>
      <c r="J43" s="29" t="str">
        <f t="shared" si="1"/>
        <v>GLTRANSACTIONS_2019</v>
      </c>
      <c r="L43" s="29" t="str">
        <f>"GLTRANSACTIONS_"&amp;L$16</f>
        <v>GLTRANSACTIONS_2018</v>
      </c>
    </row>
    <row r="44" spans="7:12">
      <c r="H44" s="168" t="s">
        <v>425</v>
      </c>
      <c r="I44" s="29" t="str">
        <f t="shared" ref="I44:K44" si="2">"BUD"&amp;I$16</f>
        <v>BUD2020</v>
      </c>
      <c r="J44" s="29" t="str">
        <f t="shared" si="2"/>
        <v>BUD2019</v>
      </c>
      <c r="K44" s="29" t="str">
        <f t="shared" si="2"/>
        <v>BUD2021</v>
      </c>
    </row>
    <row r="45" spans="7:12">
      <c r="H45" s="168" t="s">
        <v>116</v>
      </c>
      <c r="I45" s="29" t="str">
        <f t="shared" ref="I45:K45" si="3">"BUD"&amp;I$16&amp;"_DETAIL"</f>
        <v>BUD2020_DETAIL</v>
      </c>
      <c r="J45" s="29" t="str">
        <f t="shared" si="3"/>
        <v>BUD2019_DETAIL</v>
      </c>
      <c r="K45" s="29" t="str">
        <f t="shared" si="3"/>
        <v>BUD2021_DETAIL</v>
      </c>
    </row>
    <row r="46" spans="7:12">
      <c r="H46" s="168" t="s">
        <v>532</v>
      </c>
      <c r="I46" s="29" t="str">
        <f>"CYF"&amp;I$16</f>
        <v>CYF2020</v>
      </c>
      <c r="J46" s="114"/>
      <c r="K46" s="114"/>
    </row>
    <row r="48" spans="7:12">
      <c r="G48" s="73" t="s">
        <v>117</v>
      </c>
      <c r="H48" s="71"/>
    </row>
    <row r="49" spans="7:12">
      <c r="H49" s="168" t="s">
        <v>82</v>
      </c>
      <c r="I49" s="29" t="str">
        <f t="shared" ref="I49:J49" si="4">"ACT_PAY12_"&amp;I$16</f>
        <v>ACT_PAY12_2020</v>
      </c>
      <c r="J49" s="29" t="str">
        <f t="shared" si="4"/>
        <v>ACT_PAY12_2019</v>
      </c>
      <c r="L49" s="29" t="str">
        <f>"ACT_PAY12_"&amp;L$16</f>
        <v>ACT_PAY12_2018</v>
      </c>
    </row>
    <row r="50" spans="7:12">
      <c r="H50" s="168" t="s">
        <v>118</v>
      </c>
      <c r="I50" s="29" t="str">
        <f t="shared" ref="I50:J50" si="5">"ACT_PAY27_"&amp;I$16</f>
        <v>ACT_PAY27_2020</v>
      </c>
      <c r="J50" s="29" t="str">
        <f t="shared" si="5"/>
        <v>ACT_PAY27_2019</v>
      </c>
      <c r="L50" s="29" t="str">
        <f>"ACT_PAY27_"&amp;L$16</f>
        <v>ACT_PAY27_2018</v>
      </c>
    </row>
    <row r="51" spans="7:12">
      <c r="H51" s="168" t="s">
        <v>361</v>
      </c>
      <c r="I51" s="29" t="str">
        <f t="shared" ref="I51:K51" si="6">"BUD_PAY12_"&amp;I$16</f>
        <v>BUD_PAY12_2020</v>
      </c>
      <c r="J51" s="29" t="str">
        <f t="shared" si="6"/>
        <v>BUD_PAY12_2019</v>
      </c>
      <c r="K51" s="29" t="str">
        <f t="shared" si="6"/>
        <v>BUD_PAY12_2021</v>
      </c>
    </row>
    <row r="52" spans="7:12">
      <c r="H52" s="168" t="s">
        <v>394</v>
      </c>
      <c r="I52" s="29" t="str">
        <f t="shared" ref="I52:K52" si="7">"BUD_PAY27_"&amp;I$16</f>
        <v>BUD_PAY27_2020</v>
      </c>
      <c r="J52" s="29" t="str">
        <f t="shared" si="7"/>
        <v>BUD_PAY27_2019</v>
      </c>
      <c r="K52" s="29" t="str">
        <f t="shared" si="7"/>
        <v>BUD_PAY27_2021</v>
      </c>
    </row>
    <row r="54" spans="7:12">
      <c r="G54" s="73" t="s">
        <v>294</v>
      </c>
      <c r="H54" s="71"/>
    </row>
    <row r="55" spans="7:12">
      <c r="H55" s="168" t="s">
        <v>115</v>
      </c>
      <c r="I55" s="29" t="str">
        <f t="shared" ref="I55:J55" si="8">"ACT_PROV_"&amp;I$16</f>
        <v>ACT_PROV_2020</v>
      </c>
      <c r="J55" s="29" t="str">
        <f t="shared" si="8"/>
        <v>ACT_PROV_2019</v>
      </c>
      <c r="L55" s="29" t="str">
        <f>"ACT_PROV_"&amp;L$16</f>
        <v>ACT_PROV_2018</v>
      </c>
    </row>
    <row r="56" spans="7:12">
      <c r="H56" s="168" t="s">
        <v>425</v>
      </c>
      <c r="I56" s="29" t="str">
        <f t="shared" ref="I56:K56" si="9">"BUD_PROV_"&amp;I$16</f>
        <v>BUD_PROV_2020</v>
      </c>
      <c r="J56" s="29" t="str">
        <f t="shared" si="9"/>
        <v>BUD_PROV_2019</v>
      </c>
      <c r="K56" s="29" t="str">
        <f t="shared" si="9"/>
        <v>BUD_PROV_2021</v>
      </c>
    </row>
    <row r="58" spans="7:12">
      <c r="G58" s="73" t="s">
        <v>395</v>
      </c>
      <c r="H58" s="71"/>
    </row>
    <row r="59" spans="7:12">
      <c r="H59" s="168" t="s">
        <v>115</v>
      </c>
      <c r="I59" s="29" t="str">
        <f t="shared" ref="I59:J59" si="10">"ACT_RU_"&amp;I$16</f>
        <v>ACT_RU_2020</v>
      </c>
      <c r="J59" s="29" t="str">
        <f t="shared" si="10"/>
        <v>ACT_RU_2019</v>
      </c>
      <c r="L59" s="29"/>
    </row>
    <row r="60" spans="7:12">
      <c r="H60" s="168" t="s">
        <v>425</v>
      </c>
      <c r="I60" s="29" t="str">
        <f>"BUD_RU_"&amp;I$16</f>
        <v>BUD_RU_2020</v>
      </c>
      <c r="J60" s="29"/>
      <c r="K60" s="29" t="str">
        <f>"BUD_RU_"&amp;K$16</f>
        <v>BUD_RU_2021</v>
      </c>
    </row>
    <row r="62" spans="7:12">
      <c r="G62" s="73" t="s">
        <v>362</v>
      </c>
      <c r="H62" s="71"/>
    </row>
    <row r="63" spans="7:12">
      <c r="H63" s="168" t="s">
        <v>363</v>
      </c>
      <c r="I63" s="29" t="str">
        <f>"FLX"&amp;I$16</f>
        <v>FLX2020</v>
      </c>
      <c r="J63" s="29"/>
      <c r="L63" s="29"/>
    </row>
    <row r="66" spans="3:19" ht="16.8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3:19" ht="16.8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3:19" ht="16.8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3:19" ht="16.8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3:19" ht="16.8">
      <c r="C70"/>
      <c r="D70"/>
      <c r="E70" s="38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3:19" ht="16.8">
      <c r="C71"/>
      <c r="D71"/>
      <c r="E71" s="141"/>
      <c r="F71" s="42" t="s">
        <v>198</v>
      </c>
      <c r="G71" s="42" t="s">
        <v>501</v>
      </c>
      <c r="H71" s="42" t="s">
        <v>434</v>
      </c>
      <c r="I71" s="42" t="s">
        <v>123</v>
      </c>
      <c r="J71" s="42" t="s">
        <v>297</v>
      </c>
      <c r="K71" s="42" t="s">
        <v>159</v>
      </c>
      <c r="L71" s="42" t="s">
        <v>84</v>
      </c>
      <c r="M71" s="42" t="s">
        <v>435</v>
      </c>
      <c r="N71" s="42" t="s">
        <v>536</v>
      </c>
      <c r="O71" s="42" t="s">
        <v>537</v>
      </c>
      <c r="P71" s="42" t="s">
        <v>460</v>
      </c>
      <c r="Q71" s="42" t="s">
        <v>461</v>
      </c>
      <c r="R71" s="42" t="s">
        <v>502</v>
      </c>
      <c r="S71" s="42" t="s">
        <v>265</v>
      </c>
    </row>
    <row r="72" spans="3:19" ht="16.8">
      <c r="C72" s="144" t="s">
        <v>160</v>
      </c>
      <c r="D72" s="165" t="str">
        <f>"DEPT.Dept IN ("&amp;MAX($J$72,0)&amp;")"</f>
        <v>DEPT.Dept IN (0)</v>
      </c>
      <c r="E72" s="141"/>
      <c r="F72" s="46" t="s">
        <v>266</v>
      </c>
      <c r="G72" s="46" t="s">
        <v>584</v>
      </c>
      <c r="H72" s="46" t="s">
        <v>55</v>
      </c>
      <c r="I72" s="129" t="s">
        <v>538</v>
      </c>
      <c r="J72" s="164"/>
      <c r="K72" s="46" t="b">
        <v>1</v>
      </c>
      <c r="L72" s="46" t="s">
        <v>538</v>
      </c>
      <c r="M72" s="46"/>
      <c r="N72" s="46"/>
      <c r="O72" s="46"/>
      <c r="P72" s="46" t="s">
        <v>578</v>
      </c>
      <c r="Q72" s="46" t="s">
        <v>332</v>
      </c>
      <c r="R72" s="46" t="s">
        <v>585</v>
      </c>
      <c r="S72" s="46" t="s">
        <v>326</v>
      </c>
    </row>
    <row r="73" spans="3:19" ht="16.8">
      <c r="C73"/>
      <c r="D73"/>
      <c r="E73" s="141"/>
      <c r="F73" s="44"/>
      <c r="G73" s="44"/>
      <c r="H73" s="44"/>
      <c r="I73" s="44"/>
      <c r="J73" s="164"/>
      <c r="K73" s="44"/>
      <c r="L73" s="44"/>
      <c r="M73" s="44"/>
      <c r="N73" s="44"/>
      <c r="O73" s="44"/>
      <c r="P73" s="44"/>
      <c r="Q73" s="44"/>
      <c r="R73" s="44"/>
      <c r="S73" s="44"/>
    </row>
    <row r="74" spans="3:19" ht="16.8">
      <c r="C74"/>
      <c r="D74"/>
      <c r="E74" s="141"/>
      <c r="F74" s="44"/>
      <c r="G74" s="44"/>
      <c r="H74" s="44"/>
      <c r="I74" s="44"/>
      <c r="J74" s="164"/>
      <c r="K74" s="44"/>
      <c r="L74" s="44"/>
      <c r="M74" s="44"/>
      <c r="N74" s="44"/>
      <c r="O74" s="44"/>
      <c r="P74" s="44"/>
      <c r="Q74" s="44"/>
      <c r="R74" s="44"/>
      <c r="S74" s="44"/>
    </row>
    <row r="75" spans="3:19" ht="16.8">
      <c r="C75"/>
      <c r="D75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</sheetData>
  <sheetProtection formatCells="0" autoFilter="0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6"/>
  <sheetViews>
    <sheetView showGridLines="0" showRowColHeaders="0" workbookViewId="0">
      <selection activeCell="B7" sqref="B7"/>
    </sheetView>
  </sheetViews>
  <sheetFormatPr defaultColWidth="14.59765625" defaultRowHeight="16.8"/>
  <cols>
    <col min="1" max="1" width="3.19921875" style="43" customWidth="1"/>
    <col min="2" max="2" width="50" customWidth="1"/>
    <col min="3" max="3" width="14.59765625" customWidth="1"/>
    <col min="4" max="4" width="26.8984375" customWidth="1"/>
    <col min="5" max="5" width="14.59765625" customWidth="1"/>
  </cols>
  <sheetData>
    <row r="1" spans="1:5" s="87" customFormat="1" ht="13.2">
      <c r="A1" s="43"/>
      <c r="B1" s="43"/>
      <c r="C1" s="43"/>
      <c r="D1" s="43"/>
      <c r="E1" s="43"/>
    </row>
    <row r="2" spans="1:5" s="157" customFormat="1" ht="54.75" customHeight="1">
      <c r="A2" s="43"/>
      <c r="B2" s="31" t="s">
        <v>262</v>
      </c>
      <c r="C2" s="31"/>
      <c r="D2" s="31"/>
      <c r="E2" s="31"/>
    </row>
    <row r="3" spans="1:5" s="87" customFormat="1" ht="13.2">
      <c r="A3" s="43"/>
      <c r="B3" s="172"/>
      <c r="C3" s="43"/>
      <c r="D3" s="43"/>
      <c r="E3" s="43"/>
    </row>
    <row r="4" spans="1:5" s="107" customFormat="1">
      <c r="A4" s="43"/>
      <c r="B4" s="37" t="s">
        <v>270</v>
      </c>
      <c r="C4" s="65"/>
      <c r="D4" s="65"/>
      <c r="E4" s="65"/>
    </row>
    <row r="5" spans="1:5" s="87" customFormat="1">
      <c r="A5" s="43"/>
      <c r="B5" s="65" t="s">
        <v>524</v>
      </c>
      <c r="C5" s="65"/>
      <c r="D5" s="65"/>
      <c r="E5" s="43"/>
    </row>
    <row r="6" spans="1:5" s="87" customFormat="1">
      <c r="A6" s="43"/>
      <c r="B6" s="65" t="s">
        <v>564</v>
      </c>
      <c r="C6" s="65"/>
      <c r="D6" s="65"/>
      <c r="E6" s="43"/>
    </row>
    <row r="7" spans="1:5" s="150" customFormat="1" ht="13.2">
      <c r="A7" s="43"/>
      <c r="B7" s="170"/>
      <c r="C7" s="78"/>
      <c r="D7" s="78"/>
      <c r="E7" s="78"/>
    </row>
    <row r="8" spans="1:5" s="107" customFormat="1">
      <c r="A8" s="43"/>
      <c r="B8" s="37" t="s">
        <v>202</v>
      </c>
      <c r="C8" s="65"/>
      <c r="D8" s="65"/>
      <c r="E8" s="65"/>
    </row>
    <row r="9" spans="1:5" s="87" customFormat="1">
      <c r="A9" s="43"/>
      <c r="B9" s="65" t="s">
        <v>295</v>
      </c>
      <c r="C9" s="65"/>
      <c r="D9" s="65"/>
      <c r="E9" s="43"/>
    </row>
    <row r="10" spans="1:5" s="78" customFormat="1">
      <c r="A10" s="43"/>
      <c r="B10" s="65" t="s">
        <v>497</v>
      </c>
      <c r="C10" s="65"/>
      <c r="D10" s="65"/>
    </row>
    <row r="11" spans="1:5" s="43" customFormat="1">
      <c r="A11" s="85"/>
      <c r="B11" s="65" t="s">
        <v>563</v>
      </c>
      <c r="C11" s="65"/>
      <c r="D11" s="65"/>
    </row>
    <row r="12" spans="1:5" s="43" customFormat="1">
      <c r="A12" s="84"/>
      <c r="B12" s="65"/>
      <c r="C12" s="65"/>
      <c r="D12" s="65"/>
    </row>
    <row r="13" spans="1:5" s="43" customFormat="1">
      <c r="A13" s="84"/>
      <c r="B13" s="65" t="s">
        <v>124</v>
      </c>
      <c r="C13" s="65"/>
      <c r="D13" s="65"/>
    </row>
    <row r="14" spans="1:5" s="43" customFormat="1" ht="59.25" customHeight="1">
      <c r="A14" s="84"/>
      <c r="B14"/>
      <c r="C14"/>
      <c r="D14"/>
      <c r="E14"/>
    </row>
    <row r="15" spans="1:5" s="78" customFormat="1">
      <c r="B15"/>
      <c r="C15"/>
      <c r="D15"/>
      <c r="E15"/>
    </row>
    <row r="16" spans="1:5" s="43" customFormat="1">
      <c r="B16"/>
      <c r="C16"/>
      <c r="D16"/>
      <c r="E16"/>
    </row>
    <row r="17" spans="1:3" s="43" customFormat="1">
      <c r="A17" s="84"/>
      <c r="B17"/>
      <c r="C17"/>
    </row>
    <row r="18" spans="1:3" s="43" customFormat="1">
      <c r="A18" s="84"/>
      <c r="B18"/>
      <c r="C18"/>
    </row>
    <row r="19" spans="1:3" s="43" customFormat="1">
      <c r="A19" s="84"/>
      <c r="B19"/>
      <c r="C19"/>
    </row>
    <row r="20" spans="1:3" s="43" customFormat="1">
      <c r="A20" s="84"/>
      <c r="B20"/>
      <c r="C20"/>
    </row>
    <row r="21" spans="1:3" s="43" customFormat="1">
      <c r="A21" s="84"/>
      <c r="B21"/>
      <c r="C21"/>
    </row>
    <row r="22" spans="1:3" s="43" customFormat="1">
      <c r="B22"/>
      <c r="C22"/>
    </row>
    <row r="23" spans="1:3" s="43" customFormat="1">
      <c r="A23" s="85"/>
      <c r="B23"/>
      <c r="C23"/>
    </row>
    <row r="24" spans="1:3" s="43" customFormat="1">
      <c r="A24" s="116"/>
      <c r="B24"/>
      <c r="C24"/>
    </row>
    <row r="25" spans="1:3" s="43" customFormat="1">
      <c r="A25" s="84"/>
      <c r="B25"/>
      <c r="C25"/>
    </row>
    <row r="26" spans="1:3" s="43" customFormat="1">
      <c r="A26" s="116"/>
      <c r="B26"/>
      <c r="C26"/>
    </row>
    <row r="27" spans="1:3" s="43" customFormat="1">
      <c r="A27" s="116"/>
      <c r="B27"/>
      <c r="C27"/>
    </row>
    <row r="28" spans="1:3" s="43" customFormat="1">
      <c r="A28" s="116"/>
      <c r="B28"/>
      <c r="C28"/>
    </row>
    <row r="29" spans="1:3" s="43" customFormat="1">
      <c r="A29" s="116"/>
      <c r="B29"/>
      <c r="C29"/>
    </row>
    <row r="30" spans="1:3" s="43" customFormat="1">
      <c r="A30" s="116"/>
      <c r="B30"/>
      <c r="C30"/>
    </row>
    <row r="31" spans="1:3" s="43" customFormat="1">
      <c r="A31" s="116"/>
      <c r="B31"/>
      <c r="C31"/>
    </row>
    <row r="32" spans="1:3" s="43" customFormat="1">
      <c r="A32" s="116"/>
      <c r="B32"/>
      <c r="C32"/>
    </row>
    <row r="33" spans="1:4" s="43" customFormat="1">
      <c r="A33" s="116"/>
      <c r="B33"/>
      <c r="C33"/>
      <c r="D33"/>
    </row>
    <row r="34" spans="1:4" s="43" customFormat="1">
      <c r="A34" s="116"/>
      <c r="B34"/>
      <c r="C34"/>
      <c r="D34"/>
    </row>
    <row r="35" spans="1:4" s="43" customFormat="1">
      <c r="A35" s="116"/>
      <c r="B35"/>
      <c r="C35"/>
      <c r="D35"/>
    </row>
    <row r="36" spans="1:4" s="43" customFormat="1">
      <c r="A36" s="116"/>
      <c r="B36"/>
      <c r="C36"/>
      <c r="D36"/>
    </row>
    <row r="37" spans="1:4" s="43" customFormat="1">
      <c r="A37" s="84"/>
      <c r="B37"/>
      <c r="C37"/>
      <c r="D37"/>
    </row>
    <row r="38" spans="1:4" s="43" customFormat="1">
      <c r="B38"/>
      <c r="C38"/>
      <c r="D38"/>
    </row>
    <row r="39" spans="1:4" s="43" customFormat="1">
      <c r="A39" s="85"/>
      <c r="B39"/>
      <c r="C39"/>
      <c r="D39"/>
    </row>
    <row r="40" spans="1:4" s="43" customFormat="1">
      <c r="A40" s="85"/>
      <c r="B40"/>
      <c r="C40"/>
      <c r="D40"/>
    </row>
    <row r="41" spans="1:4" s="43" customFormat="1">
      <c r="A41" s="85"/>
      <c r="B41"/>
      <c r="C41"/>
      <c r="D41"/>
    </row>
    <row r="42" spans="1:4" s="43" customFormat="1">
      <c r="A42" s="85"/>
      <c r="B42"/>
      <c r="C42"/>
      <c r="D42"/>
    </row>
    <row r="43" spans="1:4" s="43" customFormat="1">
      <c r="B43"/>
      <c r="C43"/>
      <c r="D43"/>
    </row>
    <row r="44" spans="1:4" s="43" customFormat="1">
      <c r="A44" s="85"/>
      <c r="B44"/>
      <c r="C44"/>
      <c r="D44"/>
    </row>
    <row r="45" spans="1:4" s="43" customFormat="1">
      <c r="A45" s="85"/>
      <c r="B45"/>
      <c r="C45"/>
      <c r="D45"/>
    </row>
    <row r="46" spans="1:4" s="43" customFormat="1">
      <c r="A46" s="85"/>
      <c r="B46"/>
      <c r="C46"/>
      <c r="D46"/>
    </row>
    <row r="47" spans="1:4" s="43" customFormat="1">
      <c r="A47" s="85"/>
      <c r="B47"/>
      <c r="C47"/>
      <c r="D47"/>
    </row>
    <row r="48" spans="1:4" s="43" customFormat="1">
      <c r="A48" s="85"/>
      <c r="B48"/>
      <c r="C48"/>
      <c r="D48"/>
    </row>
    <row r="49" spans="1:4" s="43" customFormat="1">
      <c r="A49" s="85"/>
      <c r="B49"/>
      <c r="C49"/>
      <c r="D49"/>
    </row>
    <row r="50" spans="1:4" s="43" customFormat="1">
      <c r="A50" s="85"/>
      <c r="B50"/>
      <c r="C50"/>
      <c r="D50"/>
    </row>
    <row r="51" spans="1:4" s="43" customFormat="1">
      <c r="A51" s="85"/>
      <c r="B51"/>
      <c r="C51"/>
      <c r="D51"/>
    </row>
    <row r="52" spans="1:4" s="43" customFormat="1">
      <c r="B52"/>
      <c r="C52"/>
      <c r="D52"/>
    </row>
    <row r="53" spans="1:4" s="43" customFormat="1">
      <c r="B53"/>
      <c r="C53"/>
      <c r="D53"/>
    </row>
    <row r="54" spans="1:4" s="43" customFormat="1">
      <c r="B54"/>
      <c r="C54"/>
      <c r="D54"/>
    </row>
    <row r="55" spans="1:4" s="43" customFormat="1">
      <c r="B55"/>
      <c r="C55"/>
      <c r="D55"/>
    </row>
    <row r="56" spans="1:4" s="43" customFormat="1">
      <c r="B56"/>
      <c r="C56"/>
      <c r="D56"/>
    </row>
  </sheetData>
  <sheetProtection formatCells="0" autoFilter="0"/>
  <printOptions gridLinesSet="0"/>
  <pageMargins left="0.75" right="0.75" top="1" bottom="1" header="0.5" footer="0.5"/>
  <pageSetup orientation="portrait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175"/>
  <sheetViews>
    <sheetView showGridLines="0" showRowColHeaders="0" tabSelected="1" topLeftCell="F70" zoomScaleNormal="100" workbookViewId="0">
      <pane xSplit="8" ySplit="7" topLeftCell="N77" activePane="bottomRight" state="frozen"/>
      <selection activeCell="F70" sqref="F70"/>
      <selection pane="topRight" activeCell="N70" sqref="N70"/>
      <selection pane="bottomLeft" activeCell="F77" sqref="F77"/>
      <selection pane="bottomRight" activeCell="N43" sqref="N43"/>
    </sheetView>
  </sheetViews>
  <sheetFormatPr defaultColWidth="13.69921875" defaultRowHeight="16.8"/>
  <cols>
    <col min="1" max="1" width="36.59765625" customWidth="1"/>
    <col min="2" max="2" width="55.5" customWidth="1"/>
    <col min="3" max="4" width="17.19921875" customWidth="1"/>
    <col min="5" max="5" width="31.59765625" customWidth="1"/>
    <col min="6" max="6" width="12.69921875" customWidth="1"/>
    <col min="7" max="7" width="1.09765625" customWidth="1"/>
    <col min="8" max="8" width="12.69921875" customWidth="1"/>
    <col min="9" max="9" width="29" customWidth="1"/>
    <col min="10" max="10" width="11.59765625" hidden="1" customWidth="1"/>
    <col min="11" max="11" width="18.09765625" hidden="1" customWidth="1"/>
    <col min="12" max="12" width="8.296875" hidden="1" customWidth="1"/>
    <col min="13" max="13" width="1.3984375" customWidth="1"/>
    <col min="14" max="14" width="10.59765625" bestFit="1" customWidth="1"/>
    <col min="15" max="21" width="14.19921875" customWidth="1"/>
    <col min="27" max="27" width="15.59765625" customWidth="1"/>
    <col min="28" max="28" width="11.19921875" customWidth="1"/>
    <col min="29" max="56" width="13.69921875" customWidth="1"/>
  </cols>
  <sheetData>
    <row r="1" spans="1:61">
      <c r="A1" s="1"/>
      <c r="B1" s="1"/>
      <c r="C1" s="1"/>
      <c r="D1" s="1"/>
      <c r="E1" s="1"/>
      <c r="F1" s="1"/>
      <c r="G1" s="1"/>
      <c r="H1" s="1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1">
      <c r="A2" s="1"/>
      <c r="B2" s="1"/>
      <c r="C2" s="1"/>
      <c r="D2" s="1"/>
      <c r="E2" s="1"/>
      <c r="F2" s="1"/>
      <c r="G2" s="1"/>
      <c r="H2" s="1"/>
      <c r="I2" s="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61">
      <c r="A3" s="16"/>
      <c r="B3" s="16"/>
      <c r="C3" s="16"/>
      <c r="D3" s="16"/>
      <c r="E3" s="16"/>
      <c r="F3" s="16" t="s">
        <v>578</v>
      </c>
      <c r="G3" s="16"/>
      <c r="H3" s="16" t="s">
        <v>579</v>
      </c>
      <c r="I3" s="16" t="s">
        <v>580</v>
      </c>
      <c r="J3" s="16" t="s">
        <v>581</v>
      </c>
      <c r="K3" s="16" t="str">
        <f>"Acct."&amp;$J$53</f>
        <v>Acct.CYFMethod</v>
      </c>
      <c r="L3" s="16" t="s">
        <v>582</v>
      </c>
      <c r="M3" s="16"/>
      <c r="N3" s="16" t="str">
        <f>IF(N$62=TRUE,"",$J$49&amp;"."&amp;"Base"&amp;N$56)</f>
        <v/>
      </c>
      <c r="O3" s="16" t="str">
        <f t="shared" ref="O3:Y3" si="0">IF(O$62=TRUE,"",$J$49&amp;"."&amp;"Base"&amp;O$56)</f>
        <v/>
      </c>
      <c r="P3" s="16" t="str">
        <f t="shared" si="0"/>
        <v/>
      </c>
      <c r="Q3" s="16" t="str">
        <f t="shared" si="0"/>
        <v/>
      </c>
      <c r="R3" s="16" t="str">
        <f t="shared" si="0"/>
        <v/>
      </c>
      <c r="S3" s="16" t="str">
        <f t="shared" si="0"/>
        <v/>
      </c>
      <c r="T3" s="16" t="str">
        <f t="shared" si="0"/>
        <v/>
      </c>
      <c r="U3" s="16" t="str">
        <f t="shared" si="0"/>
        <v/>
      </c>
      <c r="V3" s="16" t="str">
        <f t="shared" si="0"/>
        <v>CYF2020.Base9</v>
      </c>
      <c r="W3" s="16" t="str">
        <f t="shared" si="0"/>
        <v>CYF2020.Base10</v>
      </c>
      <c r="X3" s="16" t="str">
        <f t="shared" si="0"/>
        <v>CYF2020.Base11</v>
      </c>
      <c r="Y3" s="16" t="str">
        <f t="shared" si="0"/>
        <v>CYF2020.Base12</v>
      </c>
      <c r="Z3" s="16"/>
      <c r="AA3" s="16"/>
      <c r="AB3" s="16" t="str">
        <f>$J$47&amp;".NYBKHA"</f>
        <v>ACT2020.NYBKHA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61">
      <c r="A4" s="16"/>
      <c r="B4" s="16"/>
      <c r="C4" s="16"/>
      <c r="D4" s="16"/>
      <c r="E4" s="16"/>
      <c r="F4" s="16">
        <v>0</v>
      </c>
      <c r="G4" s="16"/>
      <c r="H4" s="16">
        <v>0</v>
      </c>
      <c r="I4" s="16"/>
      <c r="J4" s="16"/>
      <c r="K4" s="16"/>
      <c r="L4" s="16"/>
      <c r="M4" s="16"/>
      <c r="N4" s="16" t="str">
        <f>IF(N$62=TRUE,"",$J$49&amp;"."&amp;"Pct"&amp;N$56)</f>
        <v/>
      </c>
      <c r="O4" s="16" t="str">
        <f t="shared" ref="O4:Y4" si="1">IF(O$62=TRUE,"",$J$49&amp;"."&amp;"Pct"&amp;O$56)</f>
        <v/>
      </c>
      <c r="P4" s="16" t="str">
        <f t="shared" si="1"/>
        <v/>
      </c>
      <c r="Q4" s="16" t="str">
        <f t="shared" si="1"/>
        <v/>
      </c>
      <c r="R4" s="16" t="str">
        <f t="shared" si="1"/>
        <v/>
      </c>
      <c r="S4" s="16" t="str">
        <f t="shared" si="1"/>
        <v/>
      </c>
      <c r="T4" s="16" t="str">
        <f t="shared" si="1"/>
        <v/>
      </c>
      <c r="U4" s="16" t="str">
        <f t="shared" si="1"/>
        <v/>
      </c>
      <c r="V4" s="16" t="str">
        <f t="shared" si="1"/>
        <v>CYF2020.Pct9</v>
      </c>
      <c r="W4" s="16" t="str">
        <f t="shared" si="1"/>
        <v>CYF2020.Pct10</v>
      </c>
      <c r="X4" s="16" t="str">
        <f t="shared" si="1"/>
        <v>CYF2020.Pct11</v>
      </c>
      <c r="Y4" s="16" t="str">
        <f t="shared" si="1"/>
        <v>CYF2020.Pct12</v>
      </c>
      <c r="Z4" s="16">
        <f>SUM(N4:Y4)</f>
        <v>0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6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tr">
        <f>IF(N$62=TRUE,"",$J$49&amp;"."&amp;"Adj"&amp;N$56)</f>
        <v/>
      </c>
      <c r="O5" s="16" t="str">
        <f t="shared" ref="O5:Y5" si="2">IF(O$62=TRUE,"",$J$49&amp;"."&amp;"Adj"&amp;O$56)</f>
        <v/>
      </c>
      <c r="P5" s="16" t="str">
        <f t="shared" si="2"/>
        <v/>
      </c>
      <c r="Q5" s="16" t="str">
        <f t="shared" si="2"/>
        <v/>
      </c>
      <c r="R5" s="16" t="str">
        <f t="shared" si="2"/>
        <v/>
      </c>
      <c r="S5" s="16" t="str">
        <f t="shared" si="2"/>
        <v/>
      </c>
      <c r="T5" s="16" t="str">
        <f t="shared" si="2"/>
        <v/>
      </c>
      <c r="U5" s="16" t="str">
        <f t="shared" si="2"/>
        <v/>
      </c>
      <c r="V5" s="16" t="str">
        <f t="shared" si="2"/>
        <v>CYF2020.Adj9</v>
      </c>
      <c r="W5" s="16" t="str">
        <f t="shared" si="2"/>
        <v>CYF2020.Adj10</v>
      </c>
      <c r="X5" s="16" t="str">
        <f t="shared" si="2"/>
        <v>CYF2020.Adj11</v>
      </c>
      <c r="Y5" s="16" t="str">
        <f t="shared" si="2"/>
        <v>CYF2020.Adj12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6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 t="str">
        <f>IF(N$62=TRUE,$J$47&amp;"."&amp;"P"&amp;N$56,"")</f>
        <v>ACT2020.P1</v>
      </c>
      <c r="O6" s="16" t="str">
        <f t="shared" ref="O6:Y6" si="3">IF(O$62=TRUE,$J$47&amp;"."&amp;"P"&amp;O$56,"")</f>
        <v>ACT2020.P2</v>
      </c>
      <c r="P6" s="16" t="str">
        <f t="shared" si="3"/>
        <v>ACT2020.P3</v>
      </c>
      <c r="Q6" s="16" t="str">
        <f t="shared" si="3"/>
        <v>ACT2020.P4</v>
      </c>
      <c r="R6" s="16" t="str">
        <f t="shared" si="3"/>
        <v>ACT2020.P5</v>
      </c>
      <c r="S6" s="16" t="str">
        <f t="shared" si="3"/>
        <v>ACT2020.P6</v>
      </c>
      <c r="T6" s="16" t="str">
        <f t="shared" si="3"/>
        <v>ACT2020.P7</v>
      </c>
      <c r="U6" s="16" t="str">
        <f t="shared" si="3"/>
        <v>ACT2020.P8</v>
      </c>
      <c r="V6" s="16" t="str">
        <f t="shared" si="3"/>
        <v/>
      </c>
      <c r="W6" s="16" t="str">
        <f t="shared" si="3"/>
        <v/>
      </c>
      <c r="X6" s="16" t="str">
        <f t="shared" si="3"/>
        <v/>
      </c>
      <c r="Y6" s="16" t="str">
        <f t="shared" si="3"/>
        <v/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61" s="9" customFormat="1" ht="15.6" thickBot="1">
      <c r="A7" s="175"/>
      <c r="B7" s="175"/>
      <c r="C7" s="176"/>
      <c r="D7" s="175"/>
      <c r="E7" s="175"/>
      <c r="F7" s="175">
        <v>0</v>
      </c>
      <c r="G7" s="175"/>
      <c r="H7" s="175">
        <v>0</v>
      </c>
      <c r="I7" s="175"/>
      <c r="J7" s="175"/>
      <c r="K7" s="175"/>
      <c r="L7" s="175"/>
      <c r="M7" s="175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F7" s="182"/>
      <c r="BG7" s="175">
        <v>0</v>
      </c>
      <c r="BH7" s="9" t="str">
        <f>IF(L7="KeyIP","IPRevBase",IF(L7="KeyOP","OPRevBase",IF(L7="KeyOth","OthPtRevBase","OthRevBase")))</f>
        <v>OthRevBase</v>
      </c>
      <c r="BI7" s="9" t="s">
        <v>575</v>
      </c>
    </row>
    <row r="8" spans="1:61" s="9" customFormat="1" ht="16.2" thickTop="1" thickBot="1">
      <c r="A8" s="88"/>
      <c r="B8" s="1"/>
      <c r="C8" s="176" t="s">
        <v>296</v>
      </c>
      <c r="D8" s="176"/>
      <c r="E8" s="176"/>
      <c r="F8" s="194">
        <f>+F7</f>
        <v>0</v>
      </c>
      <c r="G8" s="195"/>
      <c r="H8" s="195">
        <f>+H7</f>
        <v>0</v>
      </c>
      <c r="I8" s="184" t="s">
        <v>542</v>
      </c>
      <c r="J8" s="88"/>
      <c r="K8" s="88"/>
      <c r="L8" s="180"/>
      <c r="M8" s="72"/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181">
        <v>0</v>
      </c>
      <c r="T8" s="181">
        <v>0</v>
      </c>
      <c r="U8" s="181">
        <v>0</v>
      </c>
      <c r="V8" s="181">
        <v>0</v>
      </c>
      <c r="W8" s="181">
        <v>0</v>
      </c>
      <c r="X8" s="181">
        <v>0</v>
      </c>
      <c r="Y8" s="181">
        <v>0</v>
      </c>
      <c r="Z8" s="177"/>
      <c r="AA8" s="176">
        <v>1</v>
      </c>
      <c r="AB8" s="176"/>
      <c r="AC8" s="176" t="str">
        <f>IF(ROW()&gt;75,"[Save]","")</f>
        <v/>
      </c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F8" s="178"/>
      <c r="BG8" s="174" cm="1">
        <f t="array" ref="BG8">IF(BG$4="",0,_xll.GetData(BG$4,"DEPT="&amp;$F7&amp;" and ACCT="&amp;$H7))</f>
        <v>0</v>
      </c>
    </row>
    <row r="9" spans="1:61" s="9" customFormat="1" ht="15.6" thickTop="1">
      <c r="A9" s="88"/>
      <c r="B9" s="1"/>
      <c r="C9" s="176" t="s">
        <v>296</v>
      </c>
      <c r="D9" s="176"/>
      <c r="E9" s="176"/>
      <c r="F9" s="194">
        <f t="shared" ref="F9:F10" si="4">+F8</f>
        <v>0</v>
      </c>
      <c r="G9" s="195"/>
      <c r="H9" s="195">
        <f t="shared" ref="H9:H10" si="5">+H8</f>
        <v>0</v>
      </c>
      <c r="I9" s="184" t="s">
        <v>543</v>
      </c>
      <c r="J9" s="88"/>
      <c r="K9" s="88"/>
      <c r="L9" s="180"/>
      <c r="M9" s="72"/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86"/>
      <c r="AA9" s="176">
        <v>1</v>
      </c>
      <c r="AB9" s="176"/>
      <c r="AC9" s="176"/>
      <c r="AD9" s="176" t="str">
        <f>IF(ROW()&gt;75,"[Save]","")</f>
        <v/>
      </c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F9" s="179"/>
      <c r="BG9" s="185" cm="1">
        <f t="array" ref="BG9">IF(BG$5="",0,_xll.GetData(BG$5,"DEPT="&amp;$F7&amp;" and ACCT="&amp;$H7))</f>
        <v>0</v>
      </c>
    </row>
    <row r="10" spans="1:61" s="9" customFormat="1" ht="15">
      <c r="A10" s="88"/>
      <c r="B10" s="1"/>
      <c r="C10" s="176"/>
      <c r="D10" s="176"/>
      <c r="E10" s="176"/>
      <c r="F10" s="194">
        <f t="shared" si="4"/>
        <v>0</v>
      </c>
      <c r="G10" s="195"/>
      <c r="H10" s="195">
        <f t="shared" si="5"/>
        <v>0</v>
      </c>
      <c r="I10" s="184" t="s">
        <v>313</v>
      </c>
      <c r="J10" s="88"/>
      <c r="K10" s="88"/>
      <c r="L10" s="180"/>
      <c r="M10" s="72"/>
      <c r="N10" s="249">
        <f>(N7+(N7*N8))+N9</f>
        <v>0</v>
      </c>
      <c r="O10" s="249">
        <f t="shared" ref="O10:Y10" si="6">(O7+(O7*O8))+O9</f>
        <v>0</v>
      </c>
      <c r="P10" s="249">
        <f t="shared" si="6"/>
        <v>0</v>
      </c>
      <c r="Q10" s="249">
        <f t="shared" si="6"/>
        <v>0</v>
      </c>
      <c r="R10" s="249">
        <f t="shared" si="6"/>
        <v>0</v>
      </c>
      <c r="S10" s="249">
        <f t="shared" si="6"/>
        <v>0</v>
      </c>
      <c r="T10" s="249">
        <f t="shared" si="6"/>
        <v>0</v>
      </c>
      <c r="U10" s="249">
        <f t="shared" si="6"/>
        <v>0</v>
      </c>
      <c r="V10" s="249">
        <f t="shared" si="6"/>
        <v>0</v>
      </c>
      <c r="W10" s="249">
        <f t="shared" si="6"/>
        <v>0</v>
      </c>
      <c r="X10" s="249">
        <f t="shared" si="6"/>
        <v>0</v>
      </c>
      <c r="Y10" s="249">
        <f t="shared" si="6"/>
        <v>0</v>
      </c>
      <c r="Z10" s="250">
        <f>SUM(M10:Y10)</f>
        <v>0</v>
      </c>
      <c r="AA10" s="176">
        <v>1</v>
      </c>
      <c r="AB10" s="176"/>
      <c r="AC10" s="176"/>
      <c r="AD10" s="176"/>
      <c r="AE10" s="176" t="str">
        <f>IF(ROW()&gt;75,"[Save]","")</f>
        <v/>
      </c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F10" s="248"/>
      <c r="BG10" s="248">
        <f>(BG7+(BG7*(1+BG8))+BG9)</f>
        <v>0</v>
      </c>
      <c r="BH10" s="9" t="str">
        <f>IF(L7="KeyIP","IPRevTot",IF(L7="KeyOP","OPRevTot",IF(L7="KeyOth","OthPtRevTot","OthRevTot")))</f>
        <v>OthRevTot</v>
      </c>
      <c r="BI10" s="9" t="s">
        <v>551</v>
      </c>
    </row>
    <row r="11" spans="1:61">
      <c r="A11" s="88"/>
      <c r="B11" s="1"/>
      <c r="C11" s="6"/>
      <c r="D11" s="6"/>
      <c r="E11" s="6"/>
      <c r="F11" s="93"/>
      <c r="G11" s="91"/>
      <c r="H11" s="36"/>
      <c r="I11" s="36"/>
      <c r="J11" s="36"/>
      <c r="K11" s="36"/>
      <c r="L11" s="36"/>
      <c r="M11" s="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spans="1:61">
      <c r="A12" s="16"/>
      <c r="B12" s="16"/>
      <c r="C12" s="16"/>
      <c r="D12" s="16"/>
      <c r="E12" s="16"/>
      <c r="F12" s="16" t="s">
        <v>578</v>
      </c>
      <c r="G12" s="16"/>
      <c r="H12" s="16" t="s">
        <v>579</v>
      </c>
      <c r="I12" s="16" t="s">
        <v>580</v>
      </c>
      <c r="J12" s="16" t="s">
        <v>581</v>
      </c>
      <c r="K12" s="16" t="str">
        <f>"Acct."&amp;$J$53</f>
        <v>Acct.CYFMethod</v>
      </c>
      <c r="L12" s="16" t="s">
        <v>582</v>
      </c>
      <c r="M12" s="16"/>
      <c r="N12" s="16" t="str">
        <f>IF(N$62=TRUE,"",$J$49&amp;"."&amp;"Base"&amp;N$56)</f>
        <v/>
      </c>
      <c r="O12" s="16" t="str">
        <f t="shared" ref="O12:Y12" si="7">IF(O$62=TRUE,"",$J$49&amp;"."&amp;"Base"&amp;O$56)</f>
        <v/>
      </c>
      <c r="P12" s="16" t="str">
        <f t="shared" si="7"/>
        <v/>
      </c>
      <c r="Q12" s="16" t="str">
        <f t="shared" si="7"/>
        <v/>
      </c>
      <c r="R12" s="16" t="str">
        <f t="shared" si="7"/>
        <v/>
      </c>
      <c r="S12" s="16" t="str">
        <f t="shared" si="7"/>
        <v/>
      </c>
      <c r="T12" s="16" t="str">
        <f t="shared" si="7"/>
        <v/>
      </c>
      <c r="U12" s="16" t="str">
        <f t="shared" si="7"/>
        <v/>
      </c>
      <c r="V12" s="16" t="str">
        <f t="shared" si="7"/>
        <v>CYF2020.Base9</v>
      </c>
      <c r="W12" s="16" t="str">
        <f t="shared" si="7"/>
        <v>CYF2020.Base10</v>
      </c>
      <c r="X12" s="16" t="str">
        <f t="shared" si="7"/>
        <v>CYF2020.Base11</v>
      </c>
      <c r="Y12" s="16" t="str">
        <f t="shared" si="7"/>
        <v>CYF2020.Base12</v>
      </c>
      <c r="Z12" s="16"/>
      <c r="AA12" s="16"/>
      <c r="AB12" s="16" t="str">
        <f>$J$47&amp;".NYBKHA"</f>
        <v>ACT2020.NYBKHA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</row>
    <row r="13" spans="1:61">
      <c r="A13" s="16"/>
      <c r="B13" s="16"/>
      <c r="C13" s="16"/>
      <c r="D13" s="16"/>
      <c r="E13" s="16"/>
      <c r="F13" s="16">
        <v>0</v>
      </c>
      <c r="G13" s="16"/>
      <c r="H13" s="16">
        <v>0</v>
      </c>
      <c r="I13" s="16"/>
      <c r="J13" s="16"/>
      <c r="K13" s="16"/>
      <c r="L13" s="16"/>
      <c r="M13" s="16"/>
      <c r="N13" s="16" t="str">
        <f>IF(N$62=TRUE,"",$J$49&amp;"."&amp;"Pct"&amp;N$56)</f>
        <v/>
      </c>
      <c r="O13" s="16" t="str">
        <f t="shared" ref="O13:Y13" si="8">IF(O$62=TRUE,"",$J$49&amp;"."&amp;"Pct"&amp;O$56)</f>
        <v/>
      </c>
      <c r="P13" s="16" t="str">
        <f t="shared" si="8"/>
        <v/>
      </c>
      <c r="Q13" s="16" t="str">
        <f t="shared" si="8"/>
        <v/>
      </c>
      <c r="R13" s="16" t="str">
        <f t="shared" si="8"/>
        <v/>
      </c>
      <c r="S13" s="16" t="str">
        <f t="shared" si="8"/>
        <v/>
      </c>
      <c r="T13" s="16" t="str">
        <f t="shared" si="8"/>
        <v/>
      </c>
      <c r="U13" s="16" t="str">
        <f t="shared" si="8"/>
        <v/>
      </c>
      <c r="V13" s="16" t="str">
        <f t="shared" si="8"/>
        <v>CYF2020.Pct9</v>
      </c>
      <c r="W13" s="16" t="str">
        <f t="shared" si="8"/>
        <v>CYF2020.Pct10</v>
      </c>
      <c r="X13" s="16" t="str">
        <f t="shared" si="8"/>
        <v>CYF2020.Pct11</v>
      </c>
      <c r="Y13" s="16" t="str">
        <f t="shared" si="8"/>
        <v>CYF2020.Pct12</v>
      </c>
      <c r="Z13" s="16">
        <f>SUM(N13:Y13)</f>
        <v>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</row>
    <row r="14" spans="1:6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 t="str">
        <f>IF(N$62=TRUE,"",$J$49&amp;"."&amp;"Adj"&amp;N$56)</f>
        <v/>
      </c>
      <c r="O14" s="16" t="str">
        <f t="shared" ref="O14:Y14" si="9">IF(O$62=TRUE,"",$J$49&amp;"."&amp;"Adj"&amp;O$56)</f>
        <v/>
      </c>
      <c r="P14" s="16" t="str">
        <f t="shared" si="9"/>
        <v/>
      </c>
      <c r="Q14" s="16" t="str">
        <f t="shared" si="9"/>
        <v/>
      </c>
      <c r="R14" s="16" t="str">
        <f t="shared" si="9"/>
        <v/>
      </c>
      <c r="S14" s="16" t="str">
        <f t="shared" si="9"/>
        <v/>
      </c>
      <c r="T14" s="16" t="str">
        <f t="shared" si="9"/>
        <v/>
      </c>
      <c r="U14" s="16" t="str">
        <f t="shared" si="9"/>
        <v/>
      </c>
      <c r="V14" s="16" t="str">
        <f t="shared" si="9"/>
        <v>CYF2020.Adj9</v>
      </c>
      <c r="W14" s="16" t="str">
        <f t="shared" si="9"/>
        <v>CYF2020.Adj10</v>
      </c>
      <c r="X14" s="16" t="str">
        <f t="shared" si="9"/>
        <v>CYF2020.Adj11</v>
      </c>
      <c r="Y14" s="16" t="str">
        <f t="shared" si="9"/>
        <v>CYF2020.Adj12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</row>
    <row r="15" spans="1:6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6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 t="str">
        <f>IF(N$62=TRUE,$J$47&amp;"."&amp;"P"&amp;N$56,"")</f>
        <v>ACT2020.P1</v>
      </c>
      <c r="O16" s="16" t="str">
        <f t="shared" ref="O16:Y16" si="10">IF(O$62=TRUE,$J$47&amp;"."&amp;"P"&amp;O$56,"")</f>
        <v>ACT2020.P2</v>
      </c>
      <c r="P16" s="16" t="str">
        <f t="shared" si="10"/>
        <v>ACT2020.P3</v>
      </c>
      <c r="Q16" s="16" t="str">
        <f t="shared" si="10"/>
        <v>ACT2020.P4</v>
      </c>
      <c r="R16" s="16" t="str">
        <f t="shared" si="10"/>
        <v>ACT2020.P5</v>
      </c>
      <c r="S16" s="16" t="str">
        <f t="shared" si="10"/>
        <v>ACT2020.P6</v>
      </c>
      <c r="T16" s="16" t="str">
        <f t="shared" si="10"/>
        <v>ACT2020.P7</v>
      </c>
      <c r="U16" s="16" t="str">
        <f t="shared" si="10"/>
        <v>ACT2020.P8</v>
      </c>
      <c r="V16" s="16" t="str">
        <f t="shared" si="10"/>
        <v/>
      </c>
      <c r="W16" s="16" t="str">
        <f t="shared" si="10"/>
        <v/>
      </c>
      <c r="X16" s="16" t="str">
        <f t="shared" si="10"/>
        <v/>
      </c>
      <c r="Y16" s="16" t="str">
        <f t="shared" si="10"/>
        <v/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9" s="9" customFormat="1" ht="15.6" thickBot="1">
      <c r="A17" s="175"/>
      <c r="B17" s="175"/>
      <c r="C17" s="176"/>
      <c r="D17" s="175"/>
      <c r="E17" s="175"/>
      <c r="F17" s="175">
        <v>0</v>
      </c>
      <c r="G17" s="175"/>
      <c r="H17" s="175">
        <v>0</v>
      </c>
      <c r="I17" s="175"/>
      <c r="J17" s="175"/>
      <c r="K17" s="175"/>
      <c r="L17" s="175"/>
      <c r="M17" s="175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F17" s="182"/>
      <c r="BG17" s="175">
        <v>0</v>
      </c>
    </row>
    <row r="18" spans="1:59" s="9" customFormat="1" ht="15.6" thickTop="1">
      <c r="A18" s="88"/>
      <c r="B18" s="1"/>
      <c r="C18" s="176" t="s">
        <v>296</v>
      </c>
      <c r="D18" s="176"/>
      <c r="E18" s="176"/>
      <c r="F18" s="194">
        <f t="shared" ref="F18:F21" si="11">+F17</f>
        <v>0</v>
      </c>
      <c r="G18" s="195"/>
      <c r="H18" s="195">
        <f t="shared" ref="H18:H21" si="12">+H17</f>
        <v>0</v>
      </c>
      <c r="I18" s="184" t="s">
        <v>542</v>
      </c>
      <c r="J18" s="88"/>
      <c r="K18" s="88"/>
      <c r="L18" s="180"/>
      <c r="M18" s="72"/>
      <c r="N18" s="187" cm="1">
        <f t="array" ref="N18">IF(N$4="",0,_xll.GetData(N$4,"DEPT="&amp;$F17&amp;" and ACCT="&amp;$H17))</f>
        <v>0</v>
      </c>
      <c r="O18" s="187" cm="1">
        <f t="array" ref="O18">IF(O$4="",0,_xll.GetData(O$4,"DEPT="&amp;$F17&amp;" and ACCT="&amp;$H17))</f>
        <v>0</v>
      </c>
      <c r="P18" s="187" cm="1">
        <f t="array" ref="P18">IF(P$4="",0,_xll.GetData(P$4,"DEPT="&amp;$F17&amp;" and ACCT="&amp;$H17))</f>
        <v>0</v>
      </c>
      <c r="Q18" s="187" cm="1">
        <f t="array" ref="Q18">IF(Q$4="",0,_xll.GetData(Q$4,"DEPT="&amp;$F17&amp;" and ACCT="&amp;$H17))</f>
        <v>0</v>
      </c>
      <c r="R18" s="187" cm="1">
        <f t="array" ref="R18">IF(R$4="",0,_xll.GetData(R$4,"DEPT="&amp;$F17&amp;" and ACCT="&amp;$H17))</f>
        <v>0</v>
      </c>
      <c r="S18" s="187" cm="1">
        <f t="array" ref="S18">IF(S$4="",0,_xll.GetData(S$4,"DEPT="&amp;$F17&amp;" and ACCT="&amp;$H17))</f>
        <v>0</v>
      </c>
      <c r="T18" s="187" cm="1">
        <f t="array" ref="T18">IF(T$4="",0,_xll.GetData(T$4,"DEPT="&amp;$F17&amp;" and ACCT="&amp;$H17))</f>
        <v>0</v>
      </c>
      <c r="U18" s="187" cm="1">
        <f t="array" ref="U18">IF(U$4="",0,_xll.GetData(U$4,"DEPT="&amp;$F17&amp;" and ACCT="&amp;$H17))</f>
        <v>0</v>
      </c>
      <c r="V18" s="187" cm="1">
        <f t="array" ref="V18">IF(V$4="",0,_xll.GetData(V$4,"DEPT="&amp;$F17&amp;" and ACCT="&amp;$H17))</f>
        <v>0</v>
      </c>
      <c r="W18" s="187" cm="1">
        <f t="array" ref="W18">IF(W$4="",0,_xll.GetData(W$4,"DEPT="&amp;$F17&amp;" and ACCT="&amp;$H17))</f>
        <v>0</v>
      </c>
      <c r="X18" s="187" cm="1">
        <f t="array" ref="X18">IF(X$4="",0,_xll.GetData(X$4,"DEPT="&amp;$F17&amp;" and ACCT="&amp;$H17))</f>
        <v>0</v>
      </c>
      <c r="Y18" s="187" cm="1">
        <f t="array" ref="Y18">IF(Y$4="",0,_xll.GetData(Y$4,"DEPT="&amp;$F17&amp;" and ACCT="&amp;$H17))</f>
        <v>0</v>
      </c>
      <c r="Z18" s="177"/>
      <c r="AA18" s="176">
        <v>1</v>
      </c>
      <c r="AB18" s="176"/>
      <c r="AC18" s="176" t="str">
        <f>IF(ROW()&gt;75,"[Save]","")</f>
        <v/>
      </c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F18" s="178"/>
      <c r="BG18" s="187" cm="1">
        <f t="array" ref="BG18">IF(BG$4="",0,_xll.GetData(BG$4,"DEPT="&amp;$F17&amp;" and ACCT="&amp;$H17))</f>
        <v>0</v>
      </c>
    </row>
    <row r="19" spans="1:59" s="9" customFormat="1" ht="15">
      <c r="A19" s="88"/>
      <c r="B19" s="1"/>
      <c r="C19" s="176" t="s">
        <v>296</v>
      </c>
      <c r="D19" s="176"/>
      <c r="E19" s="176"/>
      <c r="F19" s="194">
        <f t="shared" si="11"/>
        <v>0</v>
      </c>
      <c r="G19" s="195"/>
      <c r="H19" s="195">
        <f t="shared" si="12"/>
        <v>0</v>
      </c>
      <c r="I19" s="184" t="s">
        <v>543</v>
      </c>
      <c r="J19" s="88"/>
      <c r="K19" s="88"/>
      <c r="L19" s="180"/>
      <c r="M19" s="72"/>
      <c r="N19" s="189" cm="1">
        <f t="array" ref="N19">IF(N$5="",0,_xll.GetData(N$5,"DEPT="&amp;$F17&amp;" and ACCT="&amp;$H17))</f>
        <v>0</v>
      </c>
      <c r="O19" s="189" cm="1">
        <f t="array" ref="O19">IF(O$5="",0,_xll.GetData(O$5,"DEPT="&amp;$F17&amp;" and ACCT="&amp;$H17))</f>
        <v>0</v>
      </c>
      <c r="P19" s="189" cm="1">
        <f t="array" ref="P19">IF(P$5="",0,_xll.GetData(P$5,"DEPT="&amp;$F17&amp;" and ACCT="&amp;$H17))</f>
        <v>0</v>
      </c>
      <c r="Q19" s="189" cm="1">
        <f t="array" ref="Q19">IF(Q$5="",0,_xll.GetData(Q$5,"DEPT="&amp;$F17&amp;" and ACCT="&amp;$H17))</f>
        <v>0</v>
      </c>
      <c r="R19" s="189" cm="1">
        <f t="array" ref="R19">IF(R$5="",0,_xll.GetData(R$5,"DEPT="&amp;$F17&amp;" and ACCT="&amp;$H17))</f>
        <v>0</v>
      </c>
      <c r="S19" s="189" cm="1">
        <f t="array" ref="S19">IF(S$5="",0,_xll.GetData(S$5,"DEPT="&amp;$F17&amp;" and ACCT="&amp;$H17))</f>
        <v>0</v>
      </c>
      <c r="T19" s="189" cm="1">
        <f t="array" ref="T19">IF(T$5="",0,_xll.GetData(T$5,"DEPT="&amp;$F17&amp;" and ACCT="&amp;$H17))</f>
        <v>0</v>
      </c>
      <c r="U19" s="189" cm="1">
        <f t="array" ref="U19">IF(U$5="",0,_xll.GetData(U$5,"DEPT="&amp;$F17&amp;" and ACCT="&amp;$H17))</f>
        <v>0</v>
      </c>
      <c r="V19" s="189" cm="1">
        <f t="array" ref="V19">IF(V$5="",0,_xll.GetData(V$5,"DEPT="&amp;$F17&amp;" and ACCT="&amp;$H17))</f>
        <v>0</v>
      </c>
      <c r="W19" s="189" cm="1">
        <f t="array" ref="W19">IF(W$5="",0,_xll.GetData(W$5,"DEPT="&amp;$F17&amp;" and ACCT="&amp;$H17))</f>
        <v>0</v>
      </c>
      <c r="X19" s="189" cm="1">
        <f t="array" ref="X19">IF(X$5="",0,_xll.GetData(X$5,"DEPT="&amp;$F17&amp;" and ACCT="&amp;$H17))</f>
        <v>0</v>
      </c>
      <c r="Y19" s="189" cm="1">
        <f t="array" ref="Y19">IF(Y$5="",0,_xll.GetData(Y$5,"DEPT="&amp;$F17&amp;" and ACCT="&amp;$H17))</f>
        <v>0</v>
      </c>
      <c r="Z19" s="186"/>
      <c r="AA19" s="176">
        <v>1</v>
      </c>
      <c r="AB19" s="176"/>
      <c r="AC19" s="176"/>
      <c r="AD19" s="176" t="str">
        <f>IF(ROW()&gt;75,"[Save]","")</f>
        <v/>
      </c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F19" s="188"/>
      <c r="BG19" s="189" cm="1">
        <f t="array" ref="BG19">IF(BG$5="",0,_xll.GetData(BG$5,"DEPT="&amp;$F17&amp;" and ACCT="&amp;$H17))</f>
        <v>0</v>
      </c>
    </row>
    <row r="20" spans="1:59" s="9" customFormat="1" ht="15">
      <c r="A20" s="88"/>
      <c r="B20" s="1"/>
      <c r="C20" s="176" t="s">
        <v>296</v>
      </c>
      <c r="D20" s="176"/>
      <c r="E20" s="176"/>
      <c r="F20" s="194">
        <f t="shared" si="11"/>
        <v>0</v>
      </c>
      <c r="G20" s="195"/>
      <c r="H20" s="195">
        <f t="shared" si="12"/>
        <v>0</v>
      </c>
      <c r="I20" s="184" t="s">
        <v>548</v>
      </c>
      <c r="J20" s="88"/>
      <c r="K20" s="88"/>
      <c r="L20" s="180"/>
      <c r="M20" s="72"/>
      <c r="N20" s="190"/>
      <c r="O20" s="190"/>
      <c r="P20" s="190"/>
      <c r="Q20" s="190"/>
      <c r="R20" s="190"/>
      <c r="S20" s="190"/>
      <c r="T20" s="190"/>
      <c r="U20" s="190"/>
      <c r="V20" s="191">
        <f>IFERROR((SUMIF($BH:$BH,$L17&amp;"Tot",V:V)-SUMIF($BH:$BH,$L17&amp;"Base",V:V))*V17/SUMIF($BH:$BH,$L17&amp;"Base",V:V),0)</f>
        <v>0</v>
      </c>
      <c r="W20" s="191">
        <f>IFERROR((SUMIF($BH:$BH,$L17&amp;"Tot",W:W)-SUMIF($BH:$BH,$L17&amp;"Base",W:W))*W17/SUMIF($BH:$BH,$L17&amp;"Base",W:W),0)</f>
        <v>0</v>
      </c>
      <c r="X20" s="191">
        <f>IFERROR((SUMIF($BH:$BH,$L17&amp;"Tot",X:X)-SUMIF($BH:$BH,$L17&amp;"Base",X:X))*X17/SUMIF($BH:$BH,$L17&amp;"Base",X:X),0)</f>
        <v>0</v>
      </c>
      <c r="Y20" s="191">
        <f>IFERROR((SUMIF($BH:$BH,$L17&amp;"Tot",Y:Y)-SUMIF($BH:$BH,$L17&amp;"Base",Y:Y))*Y17/SUMIF($BH:$BH,$L17&amp;"Base",Y:Y),0)</f>
        <v>0</v>
      </c>
      <c r="Z20" s="18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F20" s="190"/>
      <c r="BG20" s="191">
        <f>IFERROR((SUMIF($BH:$BH,$L17&amp;"Tot",BG:BG)-SUMIF($BH:$BH,$L17&amp;"Base",BG:BG))*BG17/SUMIF($BH:$BH,$L17&amp;"Base",BG:BG),0)</f>
        <v>0</v>
      </c>
    </row>
    <row r="21" spans="1:59" s="9" customFormat="1" ht="15">
      <c r="A21" s="88"/>
      <c r="B21" s="1"/>
      <c r="C21" s="176"/>
      <c r="D21" s="176"/>
      <c r="E21" s="176"/>
      <c r="F21" s="194">
        <f t="shared" si="11"/>
        <v>0</v>
      </c>
      <c r="G21" s="195"/>
      <c r="H21" s="195">
        <f t="shared" si="12"/>
        <v>0</v>
      </c>
      <c r="I21" s="184" t="s">
        <v>313</v>
      </c>
      <c r="J21" s="88"/>
      <c r="K21" s="88"/>
      <c r="L21" s="180"/>
      <c r="M21" s="72"/>
      <c r="N21" s="249">
        <f>(N17+(N17*N18))+N19+N20</f>
        <v>0</v>
      </c>
      <c r="O21" s="249">
        <f t="shared" ref="O21:Y21" si="13">(O17+(O17*O18))+O19+O20</f>
        <v>0</v>
      </c>
      <c r="P21" s="249">
        <f t="shared" si="13"/>
        <v>0</v>
      </c>
      <c r="Q21" s="249">
        <f t="shared" si="13"/>
        <v>0</v>
      </c>
      <c r="R21" s="249">
        <f t="shared" si="13"/>
        <v>0</v>
      </c>
      <c r="S21" s="249">
        <f t="shared" si="13"/>
        <v>0</v>
      </c>
      <c r="T21" s="249">
        <f t="shared" si="13"/>
        <v>0</v>
      </c>
      <c r="U21" s="249">
        <f t="shared" si="13"/>
        <v>0</v>
      </c>
      <c r="V21" s="249">
        <f t="shared" si="13"/>
        <v>0</v>
      </c>
      <c r="W21" s="249">
        <f t="shared" si="13"/>
        <v>0</v>
      </c>
      <c r="X21" s="249">
        <f t="shared" si="13"/>
        <v>0</v>
      </c>
      <c r="Y21" s="249">
        <f t="shared" si="13"/>
        <v>0</v>
      </c>
      <c r="Z21" s="250">
        <f>SUM(M21:Y21)</f>
        <v>0</v>
      </c>
      <c r="AA21" s="176">
        <v>1</v>
      </c>
      <c r="AB21" s="176"/>
      <c r="AC21" s="176"/>
      <c r="AD21" s="176"/>
      <c r="AE21" s="176" t="str">
        <f>IF(ROW()&gt;75,"[Save]","")</f>
        <v/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F21" s="248"/>
      <c r="BG21" s="248">
        <f>(BG17+(BG17*(1+BG18))+BG19)+BG20</f>
        <v>0</v>
      </c>
    </row>
    <row r="22" spans="1:59">
      <c r="A22" s="88"/>
      <c r="B22" s="1"/>
      <c r="C22" s="6"/>
      <c r="D22" s="6"/>
      <c r="E22" s="6"/>
      <c r="F22" s="93"/>
      <c r="G22" s="91"/>
      <c r="H22" s="36"/>
      <c r="I22" s="36"/>
      <c r="J22" s="36"/>
      <c r="K22" s="36"/>
      <c r="L22" s="36"/>
      <c r="M22" s="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59">
      <c r="A23" s="16"/>
      <c r="B23" s="16"/>
      <c r="C23" s="16"/>
      <c r="D23" s="16"/>
      <c r="E23" s="16"/>
      <c r="F23" s="16" t="s">
        <v>578</v>
      </c>
      <c r="G23" s="16"/>
      <c r="H23" s="16" t="s">
        <v>579</v>
      </c>
      <c r="I23" s="16" t="s">
        <v>580</v>
      </c>
      <c r="J23" s="16" t="s">
        <v>581</v>
      </c>
      <c r="K23" s="16" t="str">
        <f>"Acct."&amp;$J$53</f>
        <v>Acct.CYFMethod</v>
      </c>
      <c r="L23" s="16" t="s">
        <v>582</v>
      </c>
      <c r="M23" s="16"/>
      <c r="N23" s="16" t="str">
        <f>IF(N$62=TRUE,"",$J$49&amp;"."&amp;"Base"&amp;N$56)</f>
        <v/>
      </c>
      <c r="O23" s="16" t="str">
        <f t="shared" ref="O23:Y23" si="14">IF(O$62=TRUE,"",$J$49&amp;"."&amp;"Base"&amp;O$56)</f>
        <v/>
      </c>
      <c r="P23" s="16" t="str">
        <f t="shared" si="14"/>
        <v/>
      </c>
      <c r="Q23" s="16" t="str">
        <f t="shared" si="14"/>
        <v/>
      </c>
      <c r="R23" s="16" t="str">
        <f t="shared" si="14"/>
        <v/>
      </c>
      <c r="S23" s="16" t="str">
        <f t="shared" si="14"/>
        <v/>
      </c>
      <c r="T23" s="16" t="str">
        <f t="shared" si="14"/>
        <v/>
      </c>
      <c r="U23" s="16" t="str">
        <f t="shared" si="14"/>
        <v/>
      </c>
      <c r="V23" s="16" t="str">
        <f t="shared" si="14"/>
        <v>CYF2020.Base9</v>
      </c>
      <c r="W23" s="16" t="str">
        <f t="shared" si="14"/>
        <v>CYF2020.Base10</v>
      </c>
      <c r="X23" s="16" t="str">
        <f t="shared" si="14"/>
        <v>CYF2020.Base11</v>
      </c>
      <c r="Y23" s="16" t="str">
        <f t="shared" si="14"/>
        <v>CYF2020.Base12</v>
      </c>
      <c r="Z23" s="16"/>
      <c r="AA23" s="16"/>
      <c r="AB23" s="16" t="str">
        <f>$J$47&amp;".NYBKHA"</f>
        <v>ACT2020.NYBKHA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</row>
    <row r="24" spans="1:59">
      <c r="A24" s="16"/>
      <c r="B24" s="16"/>
      <c r="C24" s="16"/>
      <c r="D24" s="16"/>
      <c r="E24" s="16"/>
      <c r="F24" s="16">
        <v>0</v>
      </c>
      <c r="G24" s="16"/>
      <c r="H24" s="16">
        <v>0</v>
      </c>
      <c r="I24" s="16"/>
      <c r="J24" s="16"/>
      <c r="K24" s="16"/>
      <c r="L24" s="16"/>
      <c r="M24" s="16"/>
      <c r="N24" s="16" t="str">
        <f>IF(N$62=TRUE,"",$J$49&amp;"."&amp;"Pct"&amp;N$56)</f>
        <v/>
      </c>
      <c r="O24" s="16" t="str">
        <f t="shared" ref="O24:Y24" si="15">IF(O$62=TRUE,"",$J$49&amp;"."&amp;"Pct"&amp;O$56)</f>
        <v/>
      </c>
      <c r="P24" s="16" t="str">
        <f t="shared" si="15"/>
        <v/>
      </c>
      <c r="Q24" s="16" t="str">
        <f t="shared" si="15"/>
        <v/>
      </c>
      <c r="R24" s="16" t="str">
        <f t="shared" si="15"/>
        <v/>
      </c>
      <c r="S24" s="16" t="str">
        <f t="shared" si="15"/>
        <v/>
      </c>
      <c r="T24" s="16" t="str">
        <f t="shared" si="15"/>
        <v/>
      </c>
      <c r="U24" s="16" t="str">
        <f t="shared" si="15"/>
        <v/>
      </c>
      <c r="V24" s="16" t="str">
        <f t="shared" si="15"/>
        <v>CYF2020.Pct9</v>
      </c>
      <c r="W24" s="16" t="str">
        <f t="shared" si="15"/>
        <v>CYF2020.Pct10</v>
      </c>
      <c r="X24" s="16" t="str">
        <f t="shared" si="15"/>
        <v>CYF2020.Pct11</v>
      </c>
      <c r="Y24" s="16" t="str">
        <f t="shared" si="15"/>
        <v>CYF2020.Pct12</v>
      </c>
      <c r="Z24" s="16">
        <f>SUM(N24:Y24)</f>
        <v>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</row>
    <row r="25" spans="1:5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 t="str">
        <f>IF(N$62=TRUE,"",$J$49&amp;"."&amp;"Adj"&amp;N$56)</f>
        <v/>
      </c>
      <c r="O25" s="16" t="str">
        <f t="shared" ref="O25:Y25" si="16">IF(O$62=TRUE,"",$J$49&amp;"."&amp;"Adj"&amp;O$56)</f>
        <v/>
      </c>
      <c r="P25" s="16" t="str">
        <f t="shared" si="16"/>
        <v/>
      </c>
      <c r="Q25" s="16" t="str">
        <f t="shared" si="16"/>
        <v/>
      </c>
      <c r="R25" s="16" t="str">
        <f t="shared" si="16"/>
        <v/>
      </c>
      <c r="S25" s="16" t="str">
        <f t="shared" si="16"/>
        <v/>
      </c>
      <c r="T25" s="16" t="str">
        <f t="shared" si="16"/>
        <v/>
      </c>
      <c r="U25" s="16" t="str">
        <f t="shared" si="16"/>
        <v/>
      </c>
      <c r="V25" s="16" t="str">
        <f t="shared" si="16"/>
        <v>CYF2020.Adj9</v>
      </c>
      <c r="W25" s="16" t="str">
        <f t="shared" si="16"/>
        <v>CYF2020.Adj10</v>
      </c>
      <c r="X25" s="16" t="str">
        <f t="shared" si="16"/>
        <v>CYF2020.Adj11</v>
      </c>
      <c r="Y25" s="16" t="str">
        <f t="shared" si="16"/>
        <v>CYF2020.Adj12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9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 t="str">
        <f>IF(N$62=TRUE,$J$47&amp;"."&amp;"P"&amp;N$56,"")</f>
        <v>ACT2020.P1</v>
      </c>
      <c r="O27" s="16" t="str">
        <f t="shared" ref="O27:Y27" si="17">IF(O$62=TRUE,$J$47&amp;"."&amp;"P"&amp;O$56,"")</f>
        <v>ACT2020.P2</v>
      </c>
      <c r="P27" s="16" t="str">
        <f t="shared" si="17"/>
        <v>ACT2020.P3</v>
      </c>
      <c r="Q27" s="16" t="str">
        <f t="shared" si="17"/>
        <v>ACT2020.P4</v>
      </c>
      <c r="R27" s="16" t="str">
        <f t="shared" si="17"/>
        <v>ACT2020.P5</v>
      </c>
      <c r="S27" s="16" t="str">
        <f t="shared" si="17"/>
        <v>ACT2020.P6</v>
      </c>
      <c r="T27" s="16" t="str">
        <f t="shared" si="17"/>
        <v>ACT2020.P7</v>
      </c>
      <c r="U27" s="16" t="str">
        <f t="shared" si="17"/>
        <v>ACT2020.P8</v>
      </c>
      <c r="V27" s="16" t="str">
        <f t="shared" si="17"/>
        <v/>
      </c>
      <c r="W27" s="16" t="str">
        <f t="shared" si="17"/>
        <v/>
      </c>
      <c r="X27" s="16" t="str">
        <f t="shared" si="17"/>
        <v/>
      </c>
      <c r="Y27" s="16" t="str">
        <f t="shared" si="17"/>
        <v/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9" s="9" customFormat="1" ht="15.6" thickBot="1">
      <c r="A28" s="175"/>
      <c r="B28" s="175"/>
      <c r="C28" s="176"/>
      <c r="D28" s="175"/>
      <c r="E28" s="175"/>
      <c r="F28" s="175">
        <v>0</v>
      </c>
      <c r="G28" s="175"/>
      <c r="H28" s="175">
        <v>0</v>
      </c>
      <c r="I28" s="175"/>
      <c r="J28" s="175"/>
      <c r="K28" s="175"/>
      <c r="L28" s="175"/>
      <c r="M28" s="175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F28" s="182"/>
      <c r="BG28" s="175">
        <v>0</v>
      </c>
    </row>
    <row r="29" spans="1:59" s="9" customFormat="1" ht="15.6" thickTop="1">
      <c r="A29" s="88"/>
      <c r="B29" s="1"/>
      <c r="C29" s="176" t="s">
        <v>296</v>
      </c>
      <c r="D29" s="176"/>
      <c r="E29" s="176"/>
      <c r="F29" s="194">
        <f t="shared" ref="F29:F32" si="18">+F28</f>
        <v>0</v>
      </c>
      <c r="G29" s="195"/>
      <c r="H29" s="195">
        <f t="shared" ref="H29:H32" si="19">+H28</f>
        <v>0</v>
      </c>
      <c r="I29" s="184" t="s">
        <v>542</v>
      </c>
      <c r="J29" s="88"/>
      <c r="K29" s="88"/>
      <c r="L29" s="180"/>
      <c r="M29" s="72"/>
      <c r="N29" s="178"/>
      <c r="O29" s="178"/>
      <c r="P29" s="178"/>
      <c r="Q29" s="178"/>
      <c r="R29" s="178"/>
      <c r="S29" s="178"/>
      <c r="T29" s="178"/>
      <c r="U29" s="178"/>
      <c r="V29" s="187" cm="1">
        <f t="array" ref="V29">IF(V$4="",0,_xll.GetData(V$4,"DEPT="&amp;$F28&amp;" and ACCT="&amp;$H28))</f>
        <v>0</v>
      </c>
      <c r="W29" s="187" cm="1">
        <f t="array" ref="W29">IF(W$4="",0,_xll.GetData(W$4,"DEPT="&amp;$F28&amp;" and ACCT="&amp;$H28))</f>
        <v>0</v>
      </c>
      <c r="X29" s="187" cm="1">
        <f t="array" ref="X29">IF(X$4="",0,_xll.GetData(X$4,"DEPT="&amp;$F28&amp;" and ACCT="&amp;$H28))</f>
        <v>0</v>
      </c>
      <c r="Y29" s="187" cm="1">
        <f t="array" ref="Y29">IF(Y$4="",0,_xll.GetData(Y$4,"DEPT="&amp;$F28&amp;" and ACCT="&amp;$H28))</f>
        <v>0</v>
      </c>
      <c r="Z29" s="177"/>
      <c r="AA29" s="176">
        <v>1</v>
      </c>
      <c r="AB29" s="176"/>
      <c r="AC29" s="176" t="str">
        <f>IF(ROW()&gt;75,"[Save]","")</f>
        <v/>
      </c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F29" s="178"/>
      <c r="BG29" s="187" cm="1">
        <f t="array" ref="BG29">IF(BG$4="",0,_xll.GetData(BG$4,"DEPT="&amp;$F28&amp;" and ACCT="&amp;$H28))</f>
        <v>0</v>
      </c>
    </row>
    <row r="30" spans="1:59" s="9" customFormat="1" ht="15">
      <c r="A30" s="88"/>
      <c r="B30" s="1"/>
      <c r="C30" s="176" t="s">
        <v>296</v>
      </c>
      <c r="D30" s="176"/>
      <c r="E30" s="176"/>
      <c r="F30" s="194">
        <f t="shared" si="18"/>
        <v>0</v>
      </c>
      <c r="G30" s="195"/>
      <c r="H30" s="195">
        <f t="shared" si="19"/>
        <v>0</v>
      </c>
      <c r="I30" s="184" t="s">
        <v>543</v>
      </c>
      <c r="J30" s="88"/>
      <c r="K30" s="88"/>
      <c r="L30" s="180"/>
      <c r="M30" s="72"/>
      <c r="N30" s="188"/>
      <c r="O30" s="188"/>
      <c r="P30" s="188"/>
      <c r="Q30" s="188"/>
      <c r="R30" s="188"/>
      <c r="S30" s="188"/>
      <c r="T30" s="188"/>
      <c r="U30" s="188"/>
      <c r="V30" s="189" cm="1">
        <f t="array" ref="V30">IF(V$5="",0,_xll.GetData(V$5,"DEPT="&amp;$F28&amp;" and ACCT="&amp;$H28))</f>
        <v>0</v>
      </c>
      <c r="W30" s="189" cm="1">
        <f t="array" ref="W30">IF(W$5="",0,_xll.GetData(W$5,"DEPT="&amp;$F28&amp;" and ACCT="&amp;$H28))</f>
        <v>0</v>
      </c>
      <c r="X30" s="189" cm="1">
        <f t="array" ref="X30">IF(X$5="",0,_xll.GetData(X$5,"DEPT="&amp;$F28&amp;" and ACCT="&amp;$H28))</f>
        <v>0</v>
      </c>
      <c r="Y30" s="189" cm="1">
        <f t="array" ref="Y30">IF(Y$5="",0,_xll.GetData(Y$5,"DEPT="&amp;$F28&amp;" and ACCT="&amp;$H28))</f>
        <v>0</v>
      </c>
      <c r="Z30" s="186"/>
      <c r="AA30" s="176">
        <v>1</v>
      </c>
      <c r="AB30" s="176"/>
      <c r="AC30" s="176"/>
      <c r="AD30" s="176" t="str">
        <f>IF(ROW()&gt;75,"[Save]","")</f>
        <v/>
      </c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F30" s="188"/>
      <c r="BG30" s="189" cm="1">
        <f t="array" ref="BG30">IF(BG$5="",0,_xll.GetData(BG$5,"DEPT="&amp;$F28&amp;" and ACCT="&amp;$H28))</f>
        <v>0</v>
      </c>
    </row>
    <row r="31" spans="1:59" s="9" customFormat="1" ht="15" hidden="1">
      <c r="A31" s="88"/>
      <c r="B31" s="1"/>
      <c r="C31" s="176" t="s">
        <v>296</v>
      </c>
      <c r="D31" s="176" t="str">
        <f>IF(K28&lt;&gt;"Variable","[HideRow]","")</f>
        <v>[HideRow]</v>
      </c>
      <c r="E31" s="176"/>
      <c r="F31" s="194">
        <f t="shared" si="18"/>
        <v>0</v>
      </c>
      <c r="G31" s="195"/>
      <c r="H31" s="195">
        <f t="shared" si="19"/>
        <v>0</v>
      </c>
      <c r="I31" s="184" t="s">
        <v>548</v>
      </c>
      <c r="J31" s="88"/>
      <c r="K31" s="88"/>
      <c r="L31" s="180"/>
      <c r="M31" s="72"/>
      <c r="N31" s="190"/>
      <c r="O31" s="190"/>
      <c r="P31" s="190"/>
      <c r="Q31" s="190"/>
      <c r="R31" s="190"/>
      <c r="S31" s="190"/>
      <c r="T31" s="190"/>
      <c r="U31" s="190"/>
      <c r="V31" s="191">
        <f>IFERROR(IF($K28="Variable",(SUMIF($BI:$BI,"Tot",V:V)-SUMIF($BI:$BI,"Base",V:V))*V28/SUMIF($BI:$BI,"Base",V:V),0),0)</f>
        <v>0</v>
      </c>
      <c r="W31" s="191">
        <f>IFERROR(IF($K28="Variable",(SUMIF($BI:$BI,"Tot",W:W)-SUMIF($BI:$BI,"Base",W:W))*W28/SUMIF($BI:$BI,"Base",W:W),0),0)</f>
        <v>0</v>
      </c>
      <c r="X31" s="191">
        <f>IFERROR(IF($K28="Variable",(SUMIF($BI:$BI,"Tot",X:X)-SUMIF($BI:$BI,"Base",X:X))*X28/SUMIF($BI:$BI,"Base",X:X),0),0)</f>
        <v>0</v>
      </c>
      <c r="Y31" s="191">
        <f>IFERROR(IF($K28="Variable",(SUMIF($BI:$BI,"Tot",Y:Y)-SUMIF($BI:$BI,"Base",Y:Y))*Y28/SUMIF($BI:$BI,"Base",Y:Y),0),0)</f>
        <v>0</v>
      </c>
      <c r="Z31" s="18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F31" s="190"/>
      <c r="BG31" s="191">
        <f>IFERROR(IF($K28="Variable",(SUMIF($BI:$BI,"Tot",BG:BG)-SUMIF($BI:$BI,"Base",BG:BG))*BG28/SUMIF($BI:$BI,"Base",BG:BG),0),0)</f>
        <v>0</v>
      </c>
    </row>
    <row r="32" spans="1:59" s="9" customFormat="1" ht="15">
      <c r="A32" s="88"/>
      <c r="B32" s="1"/>
      <c r="C32" s="176"/>
      <c r="D32" s="176"/>
      <c r="E32" s="176"/>
      <c r="F32" s="194">
        <f t="shared" si="18"/>
        <v>0</v>
      </c>
      <c r="G32" s="195"/>
      <c r="H32" s="195">
        <f t="shared" si="19"/>
        <v>0</v>
      </c>
      <c r="I32" s="184" t="s">
        <v>313</v>
      </c>
      <c r="J32" s="88"/>
      <c r="K32" s="88"/>
      <c r="L32" s="180"/>
      <c r="M32" s="72"/>
      <c r="N32" s="249">
        <f>(N28+(N28*N29))+N30+N31</f>
        <v>0</v>
      </c>
      <c r="O32" s="249">
        <f t="shared" ref="O32" si="20">(O28+(O28*O29))+O30+O31</f>
        <v>0</v>
      </c>
      <c r="P32" s="249">
        <f t="shared" ref="P32" si="21">(P28+(P28*P29))+P30+P31</f>
        <v>0</v>
      </c>
      <c r="Q32" s="249">
        <f t="shared" ref="Q32" si="22">(Q28+(Q28*Q29))+Q30+Q31</f>
        <v>0</v>
      </c>
      <c r="R32" s="249">
        <f t="shared" ref="R32" si="23">(R28+(R28*R29))+R30+R31</f>
        <v>0</v>
      </c>
      <c r="S32" s="249">
        <f t="shared" ref="S32" si="24">(S28+(S28*S29))+S30+S31</f>
        <v>0</v>
      </c>
      <c r="T32" s="249">
        <f t="shared" ref="T32" si="25">(T28+(T28*T29))+T30+T31</f>
        <v>0</v>
      </c>
      <c r="U32" s="249">
        <f t="shared" ref="U32" si="26">(U28+(U28*U29))+U30+U31</f>
        <v>0</v>
      </c>
      <c r="V32" s="249">
        <f t="shared" ref="V32" si="27">(V28+(V28*V29))+V30+V31</f>
        <v>0</v>
      </c>
      <c r="W32" s="249">
        <f t="shared" ref="W32" si="28">(W28+(W28*W29))+W30+W31</f>
        <v>0</v>
      </c>
      <c r="X32" s="249">
        <f t="shared" ref="X32" si="29">(X28+(X28*X29))+X30+X31</f>
        <v>0</v>
      </c>
      <c r="Y32" s="249">
        <f t="shared" ref="Y32" si="30">(Y28+(Y28*Y29))+Y30+Y31</f>
        <v>0</v>
      </c>
      <c r="Z32" s="250">
        <f>SUM(M32:Y32)</f>
        <v>0</v>
      </c>
      <c r="AA32" s="176">
        <v>1</v>
      </c>
      <c r="AB32" s="176"/>
      <c r="AC32" s="176"/>
      <c r="AD32" s="176"/>
      <c r="AE32" s="176" t="str">
        <f>IF(ROW()&gt;75,"[Save]","")</f>
        <v/>
      </c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F32" s="248"/>
      <c r="BG32" s="248">
        <f>(BG28+(BG28*(1+BG29))+BG30)+BG31</f>
        <v>0</v>
      </c>
    </row>
    <row r="33" spans="1:59">
      <c r="A33" s="88"/>
      <c r="B33" s="1"/>
      <c r="C33" s="6"/>
      <c r="D33" s="6"/>
      <c r="E33" s="6"/>
      <c r="F33" s="93"/>
      <c r="G33" s="91"/>
      <c r="H33" s="36"/>
      <c r="I33" s="36"/>
      <c r="J33" s="36"/>
      <c r="K33" s="36"/>
      <c r="L33" s="36"/>
      <c r="M33" s="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1:59">
      <c r="A34" s="16"/>
      <c r="B34" s="16"/>
      <c r="C34" s="16"/>
      <c r="D34" s="16"/>
      <c r="E34" s="16"/>
      <c r="F34" s="16" t="s">
        <v>578</v>
      </c>
      <c r="G34" s="16"/>
      <c r="H34" s="16" t="s">
        <v>579</v>
      </c>
      <c r="I34" s="16" t="s">
        <v>580</v>
      </c>
      <c r="J34" s="16" t="s">
        <v>581</v>
      </c>
      <c r="K34" s="16" t="str">
        <f>"Acct."&amp;$J$53</f>
        <v>Acct.CYFMethod</v>
      </c>
      <c r="L34" s="16" t="s">
        <v>582</v>
      </c>
      <c r="M34" s="16"/>
      <c r="N34" s="16" t="str">
        <f>IF(N$62=TRUE,"",$J$49&amp;"."&amp;"Base"&amp;N$56)</f>
        <v/>
      </c>
      <c r="O34" s="16" t="str">
        <f t="shared" ref="O34:Y34" si="31">IF(O$62=TRUE,"",$J$49&amp;"."&amp;"Base"&amp;O$56)</f>
        <v/>
      </c>
      <c r="P34" s="16" t="str">
        <f t="shared" si="31"/>
        <v/>
      </c>
      <c r="Q34" s="16" t="str">
        <f t="shared" si="31"/>
        <v/>
      </c>
      <c r="R34" s="16" t="str">
        <f t="shared" si="31"/>
        <v/>
      </c>
      <c r="S34" s="16" t="str">
        <f t="shared" si="31"/>
        <v/>
      </c>
      <c r="T34" s="16" t="str">
        <f t="shared" si="31"/>
        <v/>
      </c>
      <c r="U34" s="16" t="str">
        <f t="shared" si="31"/>
        <v/>
      </c>
      <c r="V34" s="16" t="str">
        <f t="shared" si="31"/>
        <v>CYF2020.Base9</v>
      </c>
      <c r="W34" s="16" t="str">
        <f t="shared" si="31"/>
        <v>CYF2020.Base10</v>
      </c>
      <c r="X34" s="16" t="str">
        <f t="shared" si="31"/>
        <v>CYF2020.Base11</v>
      </c>
      <c r="Y34" s="16" t="str">
        <f t="shared" si="31"/>
        <v>CYF2020.Base12</v>
      </c>
      <c r="Z34" s="16"/>
      <c r="AA34" s="16"/>
      <c r="AB34" s="16" t="str">
        <f>$J$47&amp;".NYBKHA"</f>
        <v>ACT2020.NYBKHA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9">
      <c r="A35" s="16"/>
      <c r="B35" s="16"/>
      <c r="C35" s="16"/>
      <c r="D35" s="16"/>
      <c r="E35" s="16"/>
      <c r="F35" s="16">
        <v>0</v>
      </c>
      <c r="G35" s="16"/>
      <c r="H35" s="16">
        <v>0</v>
      </c>
      <c r="I35" s="16"/>
      <c r="J35" s="16"/>
      <c r="K35" s="16"/>
      <c r="L35" s="16"/>
      <c r="M35" s="16"/>
      <c r="N35" s="16" t="str">
        <f>IF(N$62=TRUE,"",$J$49&amp;"."&amp;"Pct"&amp;N$56)</f>
        <v/>
      </c>
      <c r="O35" s="16" t="str">
        <f t="shared" ref="O35:Y35" si="32">IF(O$62=TRUE,"",$J$49&amp;"."&amp;"Pct"&amp;O$56)</f>
        <v/>
      </c>
      <c r="P35" s="16" t="str">
        <f t="shared" si="32"/>
        <v/>
      </c>
      <c r="Q35" s="16" t="str">
        <f t="shared" si="32"/>
        <v/>
      </c>
      <c r="R35" s="16" t="str">
        <f t="shared" si="32"/>
        <v/>
      </c>
      <c r="S35" s="16" t="str">
        <f t="shared" si="32"/>
        <v/>
      </c>
      <c r="T35" s="16" t="str">
        <f t="shared" si="32"/>
        <v/>
      </c>
      <c r="U35" s="16" t="str">
        <f t="shared" si="32"/>
        <v/>
      </c>
      <c r="V35" s="16" t="str">
        <f t="shared" si="32"/>
        <v>CYF2020.Pct9</v>
      </c>
      <c r="W35" s="16" t="str">
        <f t="shared" si="32"/>
        <v>CYF2020.Pct10</v>
      </c>
      <c r="X35" s="16" t="str">
        <f t="shared" si="32"/>
        <v>CYF2020.Pct11</v>
      </c>
      <c r="Y35" s="16" t="str">
        <f t="shared" si="32"/>
        <v>CYF2020.Pct12</v>
      </c>
      <c r="Z35" s="16">
        <f>SUM(N35:Y35)</f>
        <v>0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59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 t="str">
        <f>IF(N$62=TRUE,"",$J$49&amp;"."&amp;"Adj"&amp;N$56)</f>
        <v/>
      </c>
      <c r="O36" s="16" t="str">
        <f t="shared" ref="O36:Y36" si="33">IF(O$62=TRUE,"",$J$49&amp;"."&amp;"Adj"&amp;O$56)</f>
        <v/>
      </c>
      <c r="P36" s="16" t="str">
        <f t="shared" si="33"/>
        <v/>
      </c>
      <c r="Q36" s="16" t="str">
        <f t="shared" si="33"/>
        <v/>
      </c>
      <c r="R36" s="16" t="str">
        <f t="shared" si="33"/>
        <v/>
      </c>
      <c r="S36" s="16" t="str">
        <f t="shared" si="33"/>
        <v/>
      </c>
      <c r="T36" s="16" t="str">
        <f t="shared" si="33"/>
        <v/>
      </c>
      <c r="U36" s="16" t="str">
        <f t="shared" si="33"/>
        <v/>
      </c>
      <c r="V36" s="16" t="str">
        <f t="shared" si="33"/>
        <v>CYF2020.Adj9</v>
      </c>
      <c r="W36" s="16" t="str">
        <f t="shared" si="33"/>
        <v>CYF2020.Adj10</v>
      </c>
      <c r="X36" s="16" t="str">
        <f t="shared" si="33"/>
        <v>CYF2020.Adj11</v>
      </c>
      <c r="Y36" s="16" t="str">
        <f t="shared" si="33"/>
        <v>CYF2020.Adj12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5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5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 t="str">
        <f>IF(N$62=TRUE,$J$47&amp;"."&amp;"P"&amp;N$56,"")</f>
        <v>ACT2020.P1</v>
      </c>
      <c r="O38" s="16" t="str">
        <f t="shared" ref="O38:Y38" si="34">IF(O$62=TRUE,$J$47&amp;"."&amp;"P"&amp;O$56,"")</f>
        <v>ACT2020.P2</v>
      </c>
      <c r="P38" s="16" t="str">
        <f t="shared" si="34"/>
        <v>ACT2020.P3</v>
      </c>
      <c r="Q38" s="16" t="str">
        <f t="shared" si="34"/>
        <v>ACT2020.P4</v>
      </c>
      <c r="R38" s="16" t="str">
        <f t="shared" si="34"/>
        <v>ACT2020.P5</v>
      </c>
      <c r="S38" s="16" t="str">
        <f t="shared" si="34"/>
        <v>ACT2020.P6</v>
      </c>
      <c r="T38" s="16" t="str">
        <f t="shared" si="34"/>
        <v>ACT2020.P7</v>
      </c>
      <c r="U38" s="16" t="str">
        <f t="shared" si="34"/>
        <v>ACT2020.P8</v>
      </c>
      <c r="V38" s="16" t="str">
        <f t="shared" si="34"/>
        <v/>
      </c>
      <c r="W38" s="16" t="str">
        <f t="shared" si="34"/>
        <v/>
      </c>
      <c r="X38" s="16" t="str">
        <f t="shared" si="34"/>
        <v/>
      </c>
      <c r="Y38" s="16" t="str">
        <f t="shared" si="34"/>
        <v/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9" s="9" customFormat="1" ht="15.6" thickBot="1">
      <c r="A39" s="175"/>
      <c r="B39" s="175"/>
      <c r="C39" s="176"/>
      <c r="D39" s="175"/>
      <c r="E39" s="175"/>
      <c r="F39" s="175">
        <v>0</v>
      </c>
      <c r="G39" s="175"/>
      <c r="H39" s="175">
        <v>0</v>
      </c>
      <c r="I39" s="175"/>
      <c r="J39" s="175"/>
      <c r="K39" s="175"/>
      <c r="L39" s="175"/>
      <c r="M39" s="175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F39" s="182"/>
      <c r="BG39" s="175">
        <v>0</v>
      </c>
    </row>
    <row r="40" spans="1:59" s="9" customFormat="1" ht="15.6" thickTop="1">
      <c r="A40" s="88"/>
      <c r="B40" s="1"/>
      <c r="C40" s="176" t="s">
        <v>296</v>
      </c>
      <c r="D40" s="176"/>
      <c r="E40" s="176"/>
      <c r="F40" s="194">
        <f t="shared" ref="F40:F43" si="35">+F39</f>
        <v>0</v>
      </c>
      <c r="G40" s="195"/>
      <c r="H40" s="195">
        <f t="shared" ref="H40:H43" si="36">+H39</f>
        <v>0</v>
      </c>
      <c r="I40" s="184" t="s">
        <v>542</v>
      </c>
      <c r="J40" s="88"/>
      <c r="K40" s="88"/>
      <c r="L40" s="180"/>
      <c r="M40" s="72"/>
      <c r="N40" s="178"/>
      <c r="O40" s="178"/>
      <c r="P40" s="178"/>
      <c r="Q40" s="178"/>
      <c r="R40" s="178"/>
      <c r="S40" s="178"/>
      <c r="T40" s="178"/>
      <c r="U40" s="178"/>
      <c r="V40" s="187" cm="1">
        <f t="array" ref="V40">IF(V$4="",0,_xll.GetData(V$4,"DEPT="&amp;$F39&amp;" and ACCT="&amp;$H39))</f>
        <v>0</v>
      </c>
      <c r="W40" s="187" cm="1">
        <f t="array" ref="W40">IF(W$4="",0,_xll.GetData(W$4,"DEPT="&amp;$F39&amp;" and ACCT="&amp;$H39))</f>
        <v>0</v>
      </c>
      <c r="X40" s="187" cm="1">
        <f t="array" ref="X40">IF(X$4="",0,_xll.GetData(X$4,"DEPT="&amp;$F39&amp;" and ACCT="&amp;$H39))</f>
        <v>0</v>
      </c>
      <c r="Y40" s="187" cm="1">
        <f t="array" ref="Y40">IF(Y$4="",0,_xll.GetData(Y$4,"DEPT="&amp;$F39&amp;" and ACCT="&amp;$H39))</f>
        <v>0</v>
      </c>
      <c r="Z40" s="177"/>
      <c r="AA40" s="176">
        <v>1</v>
      </c>
      <c r="AB40" s="176"/>
      <c r="AC40" s="176" t="str">
        <f>IF(ROW()&gt;75,"[Save]","")</f>
        <v/>
      </c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F40" s="178"/>
      <c r="BG40" s="187" cm="1">
        <f t="array" ref="BG40">IF(BG$4="",0,_xll.GetData(BG$4,"DEPT="&amp;$F39&amp;" and ACCT="&amp;$H39))</f>
        <v>0</v>
      </c>
    </row>
    <row r="41" spans="1:59" s="9" customFormat="1" ht="15">
      <c r="A41" s="88"/>
      <c r="B41" s="1"/>
      <c r="C41" s="176" t="s">
        <v>296</v>
      </c>
      <c r="D41" s="176"/>
      <c r="E41" s="176"/>
      <c r="F41" s="194">
        <f t="shared" si="35"/>
        <v>0</v>
      </c>
      <c r="G41" s="195"/>
      <c r="H41" s="195">
        <f t="shared" si="36"/>
        <v>0</v>
      </c>
      <c r="I41" s="184" t="s">
        <v>543</v>
      </c>
      <c r="J41" s="88"/>
      <c r="K41" s="88"/>
      <c r="L41" s="180"/>
      <c r="M41" s="72"/>
      <c r="N41" s="188"/>
      <c r="O41" s="188"/>
      <c r="P41" s="188"/>
      <c r="Q41" s="188"/>
      <c r="R41" s="188"/>
      <c r="S41" s="188"/>
      <c r="T41" s="188"/>
      <c r="U41" s="188"/>
      <c r="V41" s="189" cm="1">
        <f t="array" ref="V41">IF(V$5="",0,_xll.GetData(V$5,"DEPT="&amp;$F39&amp;" and ACCT="&amp;$H39))</f>
        <v>0</v>
      </c>
      <c r="W41" s="189" cm="1">
        <f t="array" ref="W41">IF(W$5="",0,_xll.GetData(W$5,"DEPT="&amp;$F39&amp;" and ACCT="&amp;$H39))</f>
        <v>0</v>
      </c>
      <c r="X41" s="189" cm="1">
        <f t="array" ref="X41">IF(X$5="",0,_xll.GetData(X$5,"DEPT="&amp;$F39&amp;" and ACCT="&amp;$H39))</f>
        <v>0</v>
      </c>
      <c r="Y41" s="189" cm="1">
        <f t="array" ref="Y41">IF(Y$5="",0,_xll.GetData(Y$5,"DEPT="&amp;$F39&amp;" and ACCT="&amp;$H39))</f>
        <v>0</v>
      </c>
      <c r="Z41" s="186"/>
      <c r="AA41" s="176">
        <v>1</v>
      </c>
      <c r="AB41" s="176"/>
      <c r="AC41" s="176"/>
      <c r="AD41" s="176" t="str">
        <f>IF(ROW()&gt;75,"[Save]","")</f>
        <v/>
      </c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F41" s="188"/>
      <c r="BG41" s="189" cm="1">
        <f t="array" ref="BG41">IF(BG$5="",0,_xll.GetData(BG$5,"DEPT="&amp;$F39&amp;" and ACCT="&amp;$H39))</f>
        <v>0</v>
      </c>
    </row>
    <row r="42" spans="1:59" s="9" customFormat="1" ht="15" hidden="1">
      <c r="A42" s="88"/>
      <c r="B42" s="1"/>
      <c r="C42" s="176" t="s">
        <v>296</v>
      </c>
      <c r="D42" s="176" t="str">
        <f>IF(K39&lt;&gt;"Variable","[HideRow]","")</f>
        <v>[HideRow]</v>
      </c>
      <c r="E42" s="176"/>
      <c r="F42" s="194">
        <f t="shared" si="35"/>
        <v>0</v>
      </c>
      <c r="G42" s="195"/>
      <c r="H42" s="195">
        <f t="shared" si="36"/>
        <v>0</v>
      </c>
      <c r="I42" s="184" t="s">
        <v>548</v>
      </c>
      <c r="J42" s="88"/>
      <c r="K42" s="88"/>
      <c r="L42" s="180"/>
      <c r="M42" s="72"/>
      <c r="N42" s="190"/>
      <c r="O42" s="190"/>
      <c r="P42" s="190"/>
      <c r="Q42" s="190"/>
      <c r="R42" s="190"/>
      <c r="S42" s="190"/>
      <c r="T42" s="190"/>
      <c r="U42" s="190"/>
      <c r="V42" s="191">
        <f>IFERROR(IF($K39="Variable",(SUMIF($BI:$BI,"Tot",V:V)-SUMIF($BI:$BI,"Base",V:V))*V39/SUMIF($BI:$BI,"Base",V:V),0),0)</f>
        <v>0</v>
      </c>
      <c r="W42" s="191">
        <f>IFERROR(IF($K39="Variable",(SUMIF($BI:$BI,"Tot",W:W)-SUMIF($BI:$BI,"Base",W:W))*W39/SUMIF($BI:$BI,"Base",W:W),0),0)</f>
        <v>0</v>
      </c>
      <c r="X42" s="191">
        <f>IFERROR(IF($K39="Variable",(SUMIF($BI:$BI,"Tot",X:X)-SUMIF($BI:$BI,"Base",X:X))*X39/SUMIF($BI:$BI,"Base",X:X),0),0)</f>
        <v>0</v>
      </c>
      <c r="Y42" s="191">
        <f>IFERROR(IF($K39="Variable",(SUMIF($BI:$BI,"Tot",Y:Y)-SUMIF($BI:$BI,"Base",Y:Y))*Y39/SUMIF($BI:$BI,"Base",Y:Y),0),0)</f>
        <v>0</v>
      </c>
      <c r="Z42" s="18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F42" s="190"/>
      <c r="BG42" s="191">
        <f>IFERROR(IF($K39="Variable",(SUMIF($BI:$BI,"Tot",BG:BG)-SUMIF($BI:$BI,"Base",BG:BG))*BG39/SUMIF($BI:$BI,"Base",BG:BG),0),0)</f>
        <v>0</v>
      </c>
    </row>
    <row r="43" spans="1:59" s="9" customFormat="1" ht="15">
      <c r="A43" s="88"/>
      <c r="B43" s="1"/>
      <c r="C43" s="176"/>
      <c r="D43" s="176"/>
      <c r="E43" s="176"/>
      <c r="F43" s="194">
        <f t="shared" si="35"/>
        <v>0</v>
      </c>
      <c r="G43" s="195"/>
      <c r="H43" s="195">
        <f t="shared" si="36"/>
        <v>0</v>
      </c>
      <c r="I43" s="184" t="s">
        <v>313</v>
      </c>
      <c r="J43" s="88"/>
      <c r="K43" s="88"/>
      <c r="L43" s="180"/>
      <c r="M43" s="72"/>
      <c r="N43" s="249">
        <f>(N39+(N39*N40))+N41+N42</f>
        <v>0</v>
      </c>
      <c r="O43" s="249">
        <f t="shared" ref="O43" si="37">(O39+(O39*O40))+O41+O42</f>
        <v>0</v>
      </c>
      <c r="P43" s="249">
        <f t="shared" ref="P43" si="38">(P39+(P39*P40))+P41+P42</f>
        <v>0</v>
      </c>
      <c r="Q43" s="249">
        <f t="shared" ref="Q43" si="39">(Q39+(Q39*Q40))+Q41+Q42</f>
        <v>0</v>
      </c>
      <c r="R43" s="249">
        <f t="shared" ref="R43" si="40">(R39+(R39*R40))+R41+R42</f>
        <v>0</v>
      </c>
      <c r="S43" s="249">
        <f t="shared" ref="S43" si="41">(S39+(S39*S40))+S41+S42</f>
        <v>0</v>
      </c>
      <c r="T43" s="249">
        <f t="shared" ref="T43" si="42">(T39+(T39*T40))+T41+T42</f>
        <v>0</v>
      </c>
      <c r="U43" s="249">
        <f t="shared" ref="U43" si="43">(U39+(U39*U40))+U41+U42</f>
        <v>0</v>
      </c>
      <c r="V43" s="249">
        <f t="shared" ref="V43" si="44">(V39+(V39*V40))+V41+V42</f>
        <v>0</v>
      </c>
      <c r="W43" s="249">
        <f t="shared" ref="W43" si="45">(W39+(W39*W40))+W41+W42</f>
        <v>0</v>
      </c>
      <c r="X43" s="249">
        <f t="shared" ref="X43" si="46">(X39+(X39*X40))+X41+X42</f>
        <v>0</v>
      </c>
      <c r="Y43" s="249">
        <f t="shared" ref="Y43" si="47">(Y39+(Y39*Y40))+Y41+Y42</f>
        <v>0</v>
      </c>
      <c r="Z43" s="250">
        <f>SUM(M43:Y43)</f>
        <v>0</v>
      </c>
      <c r="AA43" s="176">
        <v>1</v>
      </c>
      <c r="AB43" s="176"/>
      <c r="AC43" s="176"/>
      <c r="AD43" s="176"/>
      <c r="AE43" s="176" t="str">
        <f>IF(ROW()&gt;75,"[Save]","")</f>
        <v/>
      </c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F43" s="248"/>
      <c r="BG43" s="248">
        <f>(BG39+(BG39*(1+BG40))+BG41)+BG42</f>
        <v>0</v>
      </c>
    </row>
    <row r="44" spans="1:59">
      <c r="A44" s="88"/>
      <c r="B44" s="1"/>
      <c r="C44" s="6"/>
      <c r="D44" s="6"/>
      <c r="E44" s="6"/>
      <c r="F44" s="93"/>
      <c r="G44" s="91"/>
      <c r="H44" s="36"/>
      <c r="I44" s="36"/>
      <c r="J44" s="36"/>
      <c r="K44" s="36"/>
      <c r="L44" s="36"/>
      <c r="M44" s="1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1:59">
      <c r="A45" s="1"/>
      <c r="B45" s="1"/>
      <c r="C45" s="1"/>
      <c r="D45" s="1"/>
      <c r="E45" s="1"/>
      <c r="F45" s="1"/>
      <c r="G45" s="1"/>
      <c r="H45" s="1"/>
      <c r="I45" s="56"/>
      <c r="J45" s="1"/>
      <c r="K45" s="1"/>
      <c r="L45" s="1"/>
      <c r="M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9">
      <c r="A46" s="1"/>
      <c r="B46" s="1"/>
      <c r="C46" s="1"/>
      <c r="D46" s="1"/>
      <c r="E46" s="1"/>
      <c r="F46" s="1"/>
      <c r="G46" s="1"/>
      <c r="H46" s="1"/>
      <c r="I46" s="21">
        <f>IF(Variables!J72="",Variables!I33,Variables!J72)</f>
        <v>27640</v>
      </c>
      <c r="J46" s="21"/>
      <c r="K46" s="21"/>
      <c r="L46" s="21"/>
      <c r="M46" s="21"/>
      <c r="Z46" s="2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9">
      <c r="A47" s="1"/>
      <c r="B47" s="1"/>
      <c r="C47" s="1"/>
      <c r="D47" s="1"/>
      <c r="E47" s="1"/>
      <c r="F47" s="1"/>
      <c r="G47" s="1"/>
      <c r="H47" s="1"/>
      <c r="I47" s="21" t="s">
        <v>157</v>
      </c>
      <c r="J47" s="21" t="str">
        <f>Variables!I42</f>
        <v>ACT2020</v>
      </c>
      <c r="K47" s="21"/>
      <c r="L47" s="21"/>
      <c r="M47" s="21"/>
      <c r="Z47" s="21">
        <f>SUM(N47:Y47)</f>
        <v>0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9">
      <c r="A48" s="1"/>
      <c r="B48" s="1"/>
      <c r="C48" s="1"/>
      <c r="D48" s="1"/>
      <c r="E48" s="1"/>
      <c r="F48" s="1"/>
      <c r="G48" s="1"/>
      <c r="H48" s="1"/>
      <c r="I48" s="21" t="s">
        <v>122</v>
      </c>
      <c r="J48" s="21" t="str">
        <f>Variables!I44</f>
        <v>BUD2020</v>
      </c>
      <c r="K48" s="21"/>
      <c r="L48" s="21"/>
      <c r="M48" s="21"/>
      <c r="N48" s="21">
        <v>1</v>
      </c>
      <c r="O48" s="21">
        <f t="shared" ref="O48:Y48" si="48">+N48+1</f>
        <v>2</v>
      </c>
      <c r="P48" s="21">
        <f t="shared" si="48"/>
        <v>3</v>
      </c>
      <c r="Q48" s="21">
        <f t="shared" si="48"/>
        <v>4</v>
      </c>
      <c r="R48" s="21">
        <f t="shared" si="48"/>
        <v>5</v>
      </c>
      <c r="S48" s="21">
        <f t="shared" si="48"/>
        <v>6</v>
      </c>
      <c r="T48" s="21">
        <f t="shared" si="48"/>
        <v>7</v>
      </c>
      <c r="U48" s="21">
        <f t="shared" si="48"/>
        <v>8</v>
      </c>
      <c r="V48" s="21">
        <f t="shared" si="48"/>
        <v>9</v>
      </c>
      <c r="W48" s="21">
        <f t="shared" si="48"/>
        <v>10</v>
      </c>
      <c r="X48" s="21">
        <f t="shared" si="48"/>
        <v>11</v>
      </c>
      <c r="Y48" s="21">
        <f t="shared" si="48"/>
        <v>12</v>
      </c>
      <c r="Z48" s="2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7.399999999999999" thickBot="1">
      <c r="A49" s="1"/>
      <c r="B49" s="1"/>
      <c r="C49" s="1"/>
      <c r="D49" s="1"/>
      <c r="E49" s="1"/>
      <c r="F49" s="1"/>
      <c r="G49" s="1"/>
      <c r="H49" s="9"/>
      <c r="I49" s="21" t="s">
        <v>535</v>
      </c>
      <c r="J49" s="21" t="str">
        <f>Variables!I46</f>
        <v>CYF2020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ht="18" thickTop="1" thickBot="1">
      <c r="A50" s="1"/>
      <c r="B50" s="1"/>
      <c r="C50" s="6" t="s">
        <v>227</v>
      </c>
      <c r="D50" s="123" t="s">
        <v>163</v>
      </c>
      <c r="E50" s="1"/>
      <c r="F50" s="1"/>
      <c r="G50" s="1"/>
      <c r="H50" s="9"/>
      <c r="I50" s="9"/>
      <c r="J50" s="9"/>
      <c r="K50" s="9"/>
      <c r="L50" s="9"/>
      <c r="M50" s="9"/>
      <c r="N50" s="9" t="str">
        <f>IF(N$56&lt;=$J$55,"[Copy;BF;1]","[Copy;BG;1]")</f>
        <v>[Copy;BF;1]</v>
      </c>
      <c r="O50" s="9" t="str">
        <f t="shared" ref="O50:Y50" si="49">IF(O$56&lt;=$J$55,"[Copy;BF;1]","[Copy;BG;1]")</f>
        <v>[Copy;BF;1]</v>
      </c>
      <c r="P50" s="9" t="str">
        <f t="shared" si="49"/>
        <v>[Copy;BF;1]</v>
      </c>
      <c r="Q50" s="9" t="str">
        <f t="shared" si="49"/>
        <v>[Copy;BF;1]</v>
      </c>
      <c r="R50" s="9" t="str">
        <f t="shared" si="49"/>
        <v>[Copy;BF;1]</v>
      </c>
      <c r="S50" s="9" t="str">
        <f t="shared" si="49"/>
        <v>[Copy;BF;1]</v>
      </c>
      <c r="T50" s="9" t="str">
        <f t="shared" si="49"/>
        <v>[Copy;BF;1]</v>
      </c>
      <c r="U50" s="9" t="str">
        <f t="shared" si="49"/>
        <v>[Copy;BF;1]</v>
      </c>
      <c r="V50" s="9" t="str">
        <f t="shared" si="49"/>
        <v>[Copy;BG;1]</v>
      </c>
      <c r="W50" s="9" t="str">
        <f t="shared" si="49"/>
        <v>[Copy;BG;1]</v>
      </c>
      <c r="X50" s="9" t="str">
        <f t="shared" si="49"/>
        <v>[Copy;BG;1]</v>
      </c>
      <c r="Y50" s="9" t="str">
        <f t="shared" si="49"/>
        <v>[Copy;BG;1]</v>
      </c>
      <c r="Z50" s="9" t="str">
        <f t="shared" ref="Z50" si="50">IF(Z$56&lt;=$J$55,"","[Copy;D35;Formats]")</f>
        <v/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ht="17.399999999999999" thickTop="1">
      <c r="A51" s="1"/>
      <c r="B51" s="1"/>
      <c r="C51" s="18" t="s">
        <v>197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</row>
    <row r="52" spans="1:56">
      <c r="A52" s="1"/>
      <c r="B52" s="1"/>
      <c r="C52" s="18"/>
      <c r="D52" s="19" t="s">
        <v>22</v>
      </c>
      <c r="E52" s="19"/>
      <c r="F52" s="19"/>
      <c r="G52" s="19"/>
      <c r="H52" s="19"/>
      <c r="I52" s="19"/>
      <c r="J52" s="19" t="s">
        <v>496</v>
      </c>
      <c r="K52" s="19" t="s">
        <v>496</v>
      </c>
      <c r="L52" s="19" t="s">
        <v>496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>
      <c r="A53" s="1"/>
      <c r="B53" s="1"/>
      <c r="C53" s="18"/>
      <c r="D53" s="19"/>
      <c r="E53" s="1"/>
      <c r="F53" s="1"/>
      <c r="G53" s="1"/>
      <c r="H53" s="9"/>
      <c r="I53" s="21" t="s">
        <v>125</v>
      </c>
      <c r="J53" s="21" t="str">
        <f>IF(OR(K53="NA",K53=""),"CYFMethod",K53)</f>
        <v>CYFMethod</v>
      </c>
      <c r="K53" s="21" t="str" cm="1">
        <f t="array" ref="K53">_xll.GetData("Dept.CYFDimGrp", "DEPT = "&amp;$X$72, ,,,"CYFMethod")</f>
        <v>NA</v>
      </c>
      <c r="L53" s="21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>
      <c r="A54" s="1"/>
      <c r="B54" s="1"/>
      <c r="C54" s="18"/>
      <c r="D54" s="19"/>
      <c r="E54" s="1"/>
      <c r="F54" s="1"/>
      <c r="G54" s="1"/>
      <c r="H54" s="9"/>
      <c r="I54" s="21" t="s">
        <v>318</v>
      </c>
      <c r="J54" s="21"/>
      <c r="K54" s="21"/>
      <c r="L54" s="21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spans="1:56">
      <c r="A55" s="1"/>
      <c r="B55" s="1"/>
      <c r="C55" s="18"/>
      <c r="D55" s="19"/>
      <c r="E55" s="1"/>
      <c r="F55" s="1"/>
      <c r="G55" s="1"/>
      <c r="H55" s="1"/>
      <c r="I55" s="21" t="s">
        <v>351</v>
      </c>
      <c r="J55" s="21">
        <f>Variables!$I$15</f>
        <v>8</v>
      </c>
      <c r="K55" s="21"/>
      <c r="L55" s="21"/>
      <c r="M55" s="72"/>
      <c r="N55" s="10" t="s">
        <v>189</v>
      </c>
      <c r="O55" s="10" t="s">
        <v>189</v>
      </c>
      <c r="P55" s="10" t="s">
        <v>189</v>
      </c>
      <c r="Q55" s="10" t="s">
        <v>189</v>
      </c>
      <c r="R55" s="10" t="s">
        <v>189</v>
      </c>
      <c r="S55" s="10" t="s">
        <v>189</v>
      </c>
      <c r="T55" s="10" t="s">
        <v>189</v>
      </c>
      <c r="U55" s="10" t="s">
        <v>189</v>
      </c>
      <c r="V55" s="10" t="s">
        <v>189</v>
      </c>
      <c r="W55" s="10" t="s">
        <v>189</v>
      </c>
      <c r="X55" s="10" t="s">
        <v>189</v>
      </c>
      <c r="Y55" s="10" t="s">
        <v>189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>
      <c r="A56" s="1"/>
      <c r="B56" s="1"/>
      <c r="C56" s="18"/>
      <c r="D56" s="19"/>
      <c r="E56" s="1"/>
      <c r="F56" s="1"/>
      <c r="G56" s="1"/>
      <c r="H56" s="1"/>
      <c r="I56" s="21" t="s">
        <v>290</v>
      </c>
      <c r="J56" s="21"/>
      <c r="K56" s="21"/>
      <c r="L56" s="21"/>
      <c r="M56" s="72"/>
      <c r="N56" s="10">
        <v>1</v>
      </c>
      <c r="O56" s="10">
        <v>2</v>
      </c>
      <c r="P56" s="10">
        <v>3</v>
      </c>
      <c r="Q56" s="10">
        <v>4</v>
      </c>
      <c r="R56" s="10">
        <v>5</v>
      </c>
      <c r="S56" s="10">
        <v>6</v>
      </c>
      <c r="T56" s="10">
        <v>7</v>
      </c>
      <c r="U56" s="10">
        <v>8</v>
      </c>
      <c r="V56" s="10">
        <v>9</v>
      </c>
      <c r="W56" s="10">
        <v>10</v>
      </c>
      <c r="X56" s="10">
        <v>11</v>
      </c>
      <c r="Y56" s="10">
        <v>12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>
      <c r="A57" s="1"/>
      <c r="B57" s="1"/>
      <c r="C57" s="18"/>
      <c r="D57" s="19"/>
      <c r="E57" s="1"/>
      <c r="F57" s="1"/>
      <c r="G57" s="1"/>
      <c r="H57" s="1"/>
      <c r="I57" s="21" t="s">
        <v>110</v>
      </c>
      <c r="J57" s="21" t="s">
        <v>48</v>
      </c>
      <c r="K57" s="21"/>
      <c r="L57" s="21">
        <f>IF(ISNA(MATCH("KeyIP",L$76:L81,0)),11,MATCH("KeyIP",L$76:L81,0)+20)</f>
        <v>11</v>
      </c>
      <c r="M57" s="1"/>
      <c r="N57" s="10">
        <f>IF($L57=11,N$60,SUMIF($L$76:$L$159,$J57,N$76:N$159))</f>
        <v>0</v>
      </c>
      <c r="O57" s="10">
        <f>IF($L57=11,O$60,SUMIF($L$76:$L$159,$J57,O$76:O$159))</f>
        <v>0</v>
      </c>
      <c r="P57" s="10">
        <f>IF($L57=11,P$60,SUMIF($L$76:$L$159,$J57,P$76:P$159))</f>
        <v>0</v>
      </c>
      <c r="Q57" s="10">
        <f>IF($L57=11,Q$60,SUMIF($L$76:$L$159,$J57,Q$76:Q$159))</f>
        <v>0</v>
      </c>
      <c r="R57" s="10">
        <f>IF($L57=11,R$60,SUMIF($L$76:$L$159,$J57,R$76:R$159))</f>
        <v>0</v>
      </c>
      <c r="S57" s="10">
        <f>IF($L57=11,S$60,SUMIF($L$76:$L$159,$J57,S$76:S$159))</f>
        <v>0</v>
      </c>
      <c r="T57" s="10">
        <f>IF($L57=11,T$60,SUMIF($L$76:$L$159,$J57,T$76:T$159))</f>
        <v>0</v>
      </c>
      <c r="U57" s="10">
        <f>IF($L57=11,U$60,SUMIF($L$76:$L$159,$J57,U$76:U$159))</f>
        <v>0</v>
      </c>
      <c r="V57" s="10">
        <f>IF($L57=11,V$60,SUMIF($L$76:$L$159,$J57,V$76:V$159))</f>
        <v>0</v>
      </c>
      <c r="W57" s="10">
        <f>IF($L57=11,W$60,SUMIF($L$76:$L$159,$J57,W$76:W$159))</f>
        <v>0</v>
      </c>
      <c r="X57" s="10">
        <f>IF($L57=11,X$60,SUMIF($L$76:$L$159,$J57,X$76:X$159))</f>
        <v>0</v>
      </c>
      <c r="Y57" s="10">
        <f>IF($L57=11,Y$60,SUMIF($L$76:$L$159,$J57,Y$76:Y$159))</f>
        <v>0</v>
      </c>
      <c r="Z57" s="10">
        <f t="shared" ref="Z57:Z61" si="51">SUM(N57:Y57)</f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>
      <c r="A58" s="1"/>
      <c r="B58" s="1"/>
      <c r="C58" s="18"/>
      <c r="D58" s="19"/>
      <c r="E58" s="1"/>
      <c r="F58" s="1"/>
      <c r="G58" s="1"/>
      <c r="H58" s="1"/>
      <c r="I58" s="21" t="s">
        <v>387</v>
      </c>
      <c r="J58" s="21" t="s">
        <v>354</v>
      </c>
      <c r="K58" s="21"/>
      <c r="L58" s="21">
        <f>IF(ISNA(MATCH("KeyOP",L$76:L81,0)),11,MATCH("KeyOP",L$76:L81,0)+20)</f>
        <v>11</v>
      </c>
      <c r="M58" s="1"/>
      <c r="N58" s="10">
        <f>IF($L58=11,N$60,SUMIF($L$76:$L$159,$J58,N$76:N$159))</f>
        <v>0</v>
      </c>
      <c r="O58" s="10">
        <f>IF($L58=11,O$60,SUMIF($L$76:$L$159,$J58,O$76:O$159))</f>
        <v>0</v>
      </c>
      <c r="P58" s="10">
        <f>IF($L58=11,P$60,SUMIF($L$76:$L$159,$J58,P$76:P$159))</f>
        <v>0</v>
      </c>
      <c r="Q58" s="10">
        <f>IF($L58=11,Q$60,SUMIF($L$76:$L$159,$J58,Q$76:Q$159))</f>
        <v>0</v>
      </c>
      <c r="R58" s="10">
        <f>IF($L58=11,R$60,SUMIF($L$76:$L$159,$J58,R$76:R$159))</f>
        <v>0</v>
      </c>
      <c r="S58" s="10">
        <f>IF($L58=11,S$60,SUMIF($L$76:$L$159,$J58,S$76:S$159))</f>
        <v>0</v>
      </c>
      <c r="T58" s="10">
        <f>IF($L58=11,T$60,SUMIF($L$76:$L$159,$J58,T$76:T$159))</f>
        <v>0</v>
      </c>
      <c r="U58" s="10">
        <f>IF($L58=11,U$60,SUMIF($L$76:$L$159,$J58,U$76:U$159))</f>
        <v>0</v>
      </c>
      <c r="V58" s="10">
        <f>IF($L58=11,V$60,SUMIF($L$76:$L$159,$J58,V$76:V$159))</f>
        <v>0</v>
      </c>
      <c r="W58" s="10">
        <f>IF($L58=11,W$60,SUMIF($L$76:$L$159,$J58,W$76:W$159))</f>
        <v>0</v>
      </c>
      <c r="X58" s="10">
        <f>IF($L58=11,X$60,SUMIF($L$76:$L$159,$J58,X$76:X$159))</f>
        <v>0</v>
      </c>
      <c r="Y58" s="10">
        <f>IF($L58=11,Y$60,SUMIF($L$76:$L$159,$J58,Y$76:Y$159))</f>
        <v>0</v>
      </c>
      <c r="Z58" s="10">
        <f t="shared" si="51"/>
        <v>0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>
      <c r="A59" s="1"/>
      <c r="B59" s="1"/>
      <c r="C59" s="18"/>
      <c r="D59" s="19"/>
      <c r="E59" s="1"/>
      <c r="F59" s="1"/>
      <c r="G59" s="1"/>
      <c r="H59" s="1"/>
      <c r="I59" s="21" t="s">
        <v>291</v>
      </c>
      <c r="J59" s="21" t="s">
        <v>190</v>
      </c>
      <c r="K59" s="21"/>
      <c r="L59" s="21">
        <f>IF(ISNA(MATCH("KeyOth",L$76:L81,0)),11,MATCH("KeyOth",L$76:L81,0)+20)</f>
        <v>11</v>
      </c>
      <c r="M59" s="1"/>
      <c r="N59" s="10">
        <f>IF($L59=11,N$60,SUMIF($L$76:$L$159,$J59,N$76:N$159))</f>
        <v>0</v>
      </c>
      <c r="O59" s="10">
        <f>IF($L59=11,O$60,SUMIF($L$76:$L$159,$J59,O$76:O$159))</f>
        <v>0</v>
      </c>
      <c r="P59" s="10">
        <f>IF($L59=11,P$60,SUMIF($L$76:$L$159,$J59,P$76:P$159))</f>
        <v>0</v>
      </c>
      <c r="Q59" s="10">
        <f>IF($L59=11,Q$60,SUMIF($L$76:$L$159,$J59,Q$76:Q$159))</f>
        <v>0</v>
      </c>
      <c r="R59" s="10">
        <f>IF($L59=11,R$60,SUMIF($L$76:$L$159,$J59,R$76:R$159))</f>
        <v>0</v>
      </c>
      <c r="S59" s="10">
        <f>IF($L59=11,S$60,SUMIF($L$76:$L$159,$J59,S$76:S$159))</f>
        <v>0</v>
      </c>
      <c r="T59" s="10">
        <f>IF($L59=11,T$60,SUMIF($L$76:$L$159,$J59,T$76:T$159))</f>
        <v>0</v>
      </c>
      <c r="U59" s="10">
        <f>IF($L59=11,U$60,SUMIF($L$76:$L$159,$J59,U$76:U$159))</f>
        <v>0</v>
      </c>
      <c r="V59" s="10">
        <f>IF($L59=11,V$60,SUMIF($L$76:$L$159,$J59,V$76:V$159))</f>
        <v>0</v>
      </c>
      <c r="W59" s="10">
        <f>IF($L59=11,W$60,SUMIF($L$76:$L$159,$J59,W$76:W$159))</f>
        <v>0</v>
      </c>
      <c r="X59" s="10">
        <f>IF($L59=11,X$60,SUMIF($L$76:$L$159,$J59,X$76:X$159))</f>
        <v>0</v>
      </c>
      <c r="Y59" s="10">
        <f>IF($L59=11,Y$60,SUMIF($L$76:$L$159,$J59,Y$76:Y$159))</f>
        <v>0</v>
      </c>
      <c r="Z59" s="10">
        <f t="shared" si="51"/>
        <v>0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>
      <c r="A60" s="1"/>
      <c r="B60" s="1"/>
      <c r="C60" s="18"/>
      <c r="D60" s="19"/>
      <c r="E60" s="1"/>
      <c r="F60" s="1"/>
      <c r="G60" s="1"/>
      <c r="H60" s="1"/>
      <c r="I60" s="21" t="s">
        <v>355</v>
      </c>
      <c r="J60" s="21"/>
      <c r="K60" s="21"/>
      <c r="L60" s="21">
        <f>IF(AND(L57=11,L58=11,L59=11),11,26)</f>
        <v>11</v>
      </c>
      <c r="M60" s="72"/>
      <c r="N60" s="10">
        <f>IF($L60=12,N61,N81)</f>
        <v>0</v>
      </c>
      <c r="O60" s="10">
        <f>IF($L60=12,O61,O81)</f>
        <v>0</v>
      </c>
      <c r="P60" s="10">
        <f>IF($L60=12,P61,P81)</f>
        <v>0</v>
      </c>
      <c r="Q60" s="10">
        <f>IF($L60=12,Q61,Q81)</f>
        <v>0</v>
      </c>
      <c r="R60" s="10">
        <f>IF($L60=12,R61,R81)</f>
        <v>0</v>
      </c>
      <c r="S60" s="10">
        <f>IF($L60=12,S61,S81)</f>
        <v>0</v>
      </c>
      <c r="T60" s="10">
        <f>IF($L60=12,T61,T81)</f>
        <v>0</v>
      </c>
      <c r="U60" s="10">
        <f>IF($L60=12,U61,U81)</f>
        <v>0</v>
      </c>
      <c r="V60" s="10">
        <f>IF($L60=12,V61,V81)</f>
        <v>0</v>
      </c>
      <c r="W60" s="10">
        <f>IF($L60=12,W61,W81)</f>
        <v>0</v>
      </c>
      <c r="X60" s="10">
        <f>IF($L60=12,X61,X81)</f>
        <v>0</v>
      </c>
      <c r="Y60" s="10">
        <f>IF($L60=12,Y61,Y81)</f>
        <v>0</v>
      </c>
      <c r="Z60" s="10">
        <f t="shared" si="51"/>
        <v>0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>
      <c r="A61" s="1"/>
      <c r="B61" s="56"/>
      <c r="C61" s="18"/>
      <c r="D61" s="19"/>
      <c r="E61" s="1"/>
      <c r="F61" s="1"/>
      <c r="G61" s="1"/>
      <c r="H61" s="1"/>
      <c r="I61" s="21" t="s">
        <v>525</v>
      </c>
      <c r="J61" s="21"/>
      <c r="K61" s="21"/>
      <c r="L61" s="21"/>
      <c r="M61" s="72"/>
      <c r="N61" s="10" cm="1">
        <f t="array" ref="N61">_xll.GetData("CYDays", "Code = "&amp;N$48, "Period")</f>
        <v>31</v>
      </c>
      <c r="O61" s="10" cm="1">
        <f t="array" ref="O61">_xll.GetData("CYDays", "Code = "&amp;O$48, "Period")</f>
        <v>31</v>
      </c>
      <c r="P61" s="10" cm="1">
        <f t="array" ref="P61">_xll.GetData("CYDays", "Code = "&amp;P$48, "Period")</f>
        <v>30</v>
      </c>
      <c r="Q61" s="10" cm="1">
        <f t="array" ref="Q61">_xll.GetData("CYDays", "Code = "&amp;Q$48, "Period")</f>
        <v>31</v>
      </c>
      <c r="R61" s="10" cm="1">
        <f t="array" ref="R61">_xll.GetData("CYDays", "Code = "&amp;R$48, "Period")</f>
        <v>30</v>
      </c>
      <c r="S61" s="10" cm="1">
        <f t="array" ref="S61">_xll.GetData("CYDays", "Code = "&amp;S$48, "Period")</f>
        <v>31</v>
      </c>
      <c r="T61" s="10" cm="1">
        <f t="array" ref="T61">_xll.GetData("CYDays", "Code = "&amp;T$48, "Period")</f>
        <v>31</v>
      </c>
      <c r="U61" s="10" cm="1">
        <f t="array" ref="U61">_xll.GetData("CYDays", "Code = "&amp;U$48, "Period")</f>
        <v>29</v>
      </c>
      <c r="V61" s="10" cm="1">
        <f t="array" ref="V61">_xll.GetData("CYDays", "Code = "&amp;V$48, "Period")</f>
        <v>31</v>
      </c>
      <c r="W61" s="10" cm="1">
        <f t="array" ref="W61">_xll.GetData("CYDays", "Code = "&amp;W$48, "Period")</f>
        <v>30</v>
      </c>
      <c r="X61" s="10" cm="1">
        <f t="array" ref="X61">_xll.GetData("CYDays", "Code = "&amp;X$48, "Period")</f>
        <v>31</v>
      </c>
      <c r="Y61" s="10" cm="1">
        <f t="array" ref="Y61">_xll.GetData("CYDays", "Code = "&amp;Y$48, "Period")</f>
        <v>30</v>
      </c>
      <c r="Z61" s="10">
        <f t="shared" si="51"/>
        <v>366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>
      <c r="A62" s="1"/>
      <c r="B62" s="1"/>
      <c r="C62" s="18"/>
      <c r="D62" s="19"/>
      <c r="E62" s="1"/>
      <c r="F62" s="1"/>
      <c r="G62" s="1"/>
      <c r="H62" s="4"/>
      <c r="I62" s="21" t="s">
        <v>76</v>
      </c>
      <c r="J62" s="21"/>
      <c r="K62" s="21"/>
      <c r="L62" s="21"/>
      <c r="M62" s="72"/>
      <c r="N62" s="10" t="b">
        <f t="shared" ref="N62:Y62" si="52">N$56&lt;=$J$55</f>
        <v>1</v>
      </c>
      <c r="O62" s="10" t="b">
        <f t="shared" si="52"/>
        <v>1</v>
      </c>
      <c r="P62" s="10" t="b">
        <f t="shared" si="52"/>
        <v>1</v>
      </c>
      <c r="Q62" s="10" t="b">
        <f t="shared" si="52"/>
        <v>1</v>
      </c>
      <c r="R62" s="10" t="b">
        <f t="shared" si="52"/>
        <v>1</v>
      </c>
      <c r="S62" s="10" t="b">
        <f t="shared" si="52"/>
        <v>1</v>
      </c>
      <c r="T62" s="10" t="b">
        <f t="shared" si="52"/>
        <v>1</v>
      </c>
      <c r="U62" s="10" t="b">
        <f t="shared" si="52"/>
        <v>1</v>
      </c>
      <c r="V62" s="10" t="b">
        <f t="shared" si="52"/>
        <v>0</v>
      </c>
      <c r="W62" s="10" t="b">
        <f t="shared" si="52"/>
        <v>0</v>
      </c>
      <c r="X62" s="10" t="b">
        <f t="shared" si="52"/>
        <v>0</v>
      </c>
      <c r="Y62" s="10" t="b">
        <f t="shared" si="52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>
      <c r="A63" s="1"/>
      <c r="B63" s="1"/>
      <c r="C63" s="18"/>
      <c r="D63" s="19"/>
      <c r="E63" s="1"/>
      <c r="F63" s="1"/>
      <c r="G63" s="1"/>
      <c r="H63" s="4"/>
      <c r="I63" s="21" t="s">
        <v>526</v>
      </c>
      <c r="J63" s="21" t="b">
        <v>1</v>
      </c>
      <c r="K63" s="21"/>
      <c r="L63" s="21"/>
      <c r="M63" s="7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260" customFormat="1">
      <c r="A64" s="257"/>
      <c r="B64" s="257"/>
      <c r="C64" s="258"/>
      <c r="D64" s="259"/>
      <c r="E64" s="257" t="str">
        <f>"[Save2db;"&amp;$J$49&amp;"]"</f>
        <v>[Save2db;CYF2020]</v>
      </c>
      <c r="F64" s="257" t="s">
        <v>356</v>
      </c>
      <c r="G64" s="257"/>
      <c r="H64" s="257" t="s">
        <v>191</v>
      </c>
      <c r="I64" s="257"/>
      <c r="J64" s="257"/>
      <c r="K64" s="257"/>
      <c r="L64" s="257"/>
      <c r="M64" s="257"/>
      <c r="N64" s="257" t="str">
        <f>IF(N$62=TRUE,"","PCT"&amp;N$56)</f>
        <v/>
      </c>
      <c r="O64" s="257" t="str">
        <f t="shared" ref="O64:Y64" si="53">IF(O$62=TRUE,"","PCT"&amp;O$56)</f>
        <v/>
      </c>
      <c r="P64" s="257" t="str">
        <f t="shared" si="53"/>
        <v/>
      </c>
      <c r="Q64" s="257" t="str">
        <f t="shared" si="53"/>
        <v/>
      </c>
      <c r="R64" s="257" t="str">
        <f t="shared" si="53"/>
        <v/>
      </c>
      <c r="S64" s="257" t="str">
        <f t="shared" si="53"/>
        <v/>
      </c>
      <c r="T64" s="257" t="str">
        <f t="shared" si="53"/>
        <v/>
      </c>
      <c r="U64" s="257" t="str">
        <f t="shared" si="53"/>
        <v/>
      </c>
      <c r="V64" s="257" t="str">
        <f t="shared" si="53"/>
        <v>PCT9</v>
      </c>
      <c r="W64" s="257" t="str">
        <f t="shared" si="53"/>
        <v>PCT10</v>
      </c>
      <c r="X64" s="257" t="str">
        <f t="shared" si="53"/>
        <v>PCT11</v>
      </c>
      <c r="Y64" s="257" t="str">
        <f t="shared" si="53"/>
        <v>PCT12</v>
      </c>
      <c r="Z64" s="257"/>
      <c r="AA64" s="257" t="s">
        <v>261</v>
      </c>
      <c r="AB64" s="257"/>
      <c r="AC64" s="257" t="str">
        <f>"[Save2DB;"&amp;$J$49&amp;"]"</f>
        <v>[Save2DB;CYF2020]</v>
      </c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</row>
    <row r="65" spans="1:56" s="260" customFormat="1">
      <c r="A65" s="257"/>
      <c r="B65" s="257"/>
      <c r="C65" s="258"/>
      <c r="D65" s="259"/>
      <c r="E65" s="257" t="str">
        <f>"[Save2db;"&amp;$J$49&amp;"]"</f>
        <v>[Save2db;CYF2020]</v>
      </c>
      <c r="F65" s="257" t="s">
        <v>356</v>
      </c>
      <c r="G65" s="257"/>
      <c r="H65" s="257" t="s">
        <v>191</v>
      </c>
      <c r="I65" s="257"/>
      <c r="J65" s="257"/>
      <c r="K65" s="257"/>
      <c r="L65" s="257"/>
      <c r="M65" s="257"/>
      <c r="N65" s="257" t="str">
        <f>IF(N$62=TRUE,"","Adj"&amp;N$56)</f>
        <v/>
      </c>
      <c r="O65" s="257" t="str">
        <f t="shared" ref="O65:Y65" si="54">IF(O$62=TRUE,"","Adj"&amp;O$56)</f>
        <v/>
      </c>
      <c r="P65" s="257" t="str">
        <f t="shared" si="54"/>
        <v/>
      </c>
      <c r="Q65" s="257" t="str">
        <f t="shared" si="54"/>
        <v/>
      </c>
      <c r="R65" s="257" t="str">
        <f t="shared" si="54"/>
        <v/>
      </c>
      <c r="S65" s="257" t="str">
        <f t="shared" si="54"/>
        <v/>
      </c>
      <c r="T65" s="257" t="str">
        <f t="shared" si="54"/>
        <v/>
      </c>
      <c r="U65" s="257" t="str">
        <f t="shared" si="54"/>
        <v/>
      </c>
      <c r="V65" s="257" t="str">
        <f t="shared" si="54"/>
        <v>Adj9</v>
      </c>
      <c r="W65" s="257" t="str">
        <f t="shared" si="54"/>
        <v>Adj10</v>
      </c>
      <c r="X65" s="257" t="str">
        <f t="shared" si="54"/>
        <v>Adj11</v>
      </c>
      <c r="Y65" s="257" t="str">
        <f t="shared" si="54"/>
        <v>Adj12</v>
      </c>
      <c r="Z65" s="257"/>
      <c r="AA65" s="257" t="s">
        <v>261</v>
      </c>
      <c r="AB65" s="257"/>
      <c r="AC65" s="257"/>
      <c r="AD65" s="257" t="str">
        <f>"[Save2DB;"&amp;$J$49&amp;"]"</f>
        <v>[Save2DB;CYF2020]</v>
      </c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</row>
    <row r="66" spans="1:56" s="260" customFormat="1">
      <c r="A66" s="257"/>
      <c r="B66" s="257"/>
      <c r="C66" s="258"/>
      <c r="D66" s="259"/>
      <c r="E66" s="257" t="str">
        <f>"[Save2db;"&amp;$J$49&amp;"]"</f>
        <v>[Save2db;CYF2020]</v>
      </c>
      <c r="F66" s="257" t="s">
        <v>356</v>
      </c>
      <c r="G66" s="257"/>
      <c r="H66" s="257" t="s">
        <v>191</v>
      </c>
      <c r="I66" s="257"/>
      <c r="J66" s="257"/>
      <c r="K66" s="257"/>
      <c r="L66" s="257"/>
      <c r="M66" s="257"/>
      <c r="N66" s="257" t="s">
        <v>319</v>
      </c>
      <c r="O66" s="257" t="s">
        <v>454</v>
      </c>
      <c r="P66" s="257" t="s">
        <v>51</v>
      </c>
      <c r="Q66" s="257" t="s">
        <v>194</v>
      </c>
      <c r="R66" s="257" t="s">
        <v>320</v>
      </c>
      <c r="S66" s="257" t="s">
        <v>455</v>
      </c>
      <c r="T66" s="257" t="s">
        <v>79</v>
      </c>
      <c r="U66" s="257" t="s">
        <v>225</v>
      </c>
      <c r="V66" s="257" t="s">
        <v>359</v>
      </c>
      <c r="W66" s="257" t="s">
        <v>52</v>
      </c>
      <c r="X66" s="257" t="s">
        <v>195</v>
      </c>
      <c r="Y66" s="257" t="s">
        <v>321</v>
      </c>
      <c r="Z66" s="257"/>
      <c r="AA66" s="257" t="s">
        <v>261</v>
      </c>
      <c r="AB66" s="257"/>
      <c r="AC66" s="257"/>
      <c r="AD66" s="257"/>
      <c r="AE66" s="257" t="str">
        <f>"[Save2DB;"&amp;$J$49&amp;"]"</f>
        <v>[Save2DB;CYF2020]</v>
      </c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</row>
    <row r="67" spans="1:56">
      <c r="A67" s="1"/>
      <c r="B67" s="1"/>
      <c r="C67" s="18"/>
      <c r="D67" s="19"/>
      <c r="E67" s="72"/>
      <c r="F67" s="72"/>
      <c r="G67" s="72"/>
      <c r="H67" s="4"/>
      <c r="I67" s="56"/>
      <c r="J67" s="1"/>
      <c r="K67" s="80"/>
      <c r="L67" s="80"/>
      <c r="M67" s="80"/>
      <c r="N67" s="8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>
      <c r="A68" s="1"/>
      <c r="B68" s="1"/>
      <c r="C68" s="18"/>
      <c r="D68" s="19"/>
      <c r="E68" s="72"/>
      <c r="F68" s="72"/>
      <c r="G68" s="72"/>
      <c r="H68" s="4"/>
      <c r="I68" s="56"/>
      <c r="J68" s="1"/>
      <c r="K68" s="82"/>
      <c r="L68" s="82"/>
      <c r="M68" s="82"/>
      <c r="N68" s="8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>
      <c r="A69" s="1"/>
      <c r="B69" s="1"/>
      <c r="C69" s="18"/>
      <c r="D69" s="19"/>
      <c r="E69" s="72"/>
      <c r="F69" s="72"/>
      <c r="G69" s="72"/>
      <c r="H69" s="4"/>
      <c r="I69" s="56"/>
      <c r="J69" s="1"/>
      <c r="K69" s="82"/>
      <c r="L69" s="82"/>
      <c r="M69" s="82"/>
      <c r="N69" s="8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6" customHeight="1">
      <c r="A70" s="1"/>
      <c r="B70" s="1"/>
      <c r="C70" s="18"/>
      <c r="D70" s="19"/>
      <c r="E70" s="72"/>
      <c r="F70" s="72"/>
      <c r="G70" s="72"/>
      <c r="H70" s="120"/>
      <c r="I70" s="56"/>
      <c r="J70" s="1"/>
      <c r="K70" s="1"/>
      <c r="L70" s="1"/>
      <c r="M70" s="1"/>
      <c r="N70" s="8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32.4">
      <c r="A71" s="1"/>
      <c r="B71" s="1"/>
      <c r="C71" s="18"/>
      <c r="D71" s="19"/>
      <c r="E71" s="72"/>
      <c r="F71" s="31" t="s">
        <v>267</v>
      </c>
      <c r="G71" s="7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9.2">
      <c r="A72" s="22"/>
      <c r="B72" s="22"/>
      <c r="C72" s="18"/>
      <c r="D72" s="19"/>
      <c r="E72" s="72"/>
      <c r="F72" s="94" t="str">
        <f>+Variables!$I$19</f>
        <v>KHA Health</v>
      </c>
      <c r="G72" s="72"/>
      <c r="I72" s="94"/>
      <c r="J72" s="94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54" t="s">
        <v>83</v>
      </c>
      <c r="X72" s="251">
        <f>IF(Variables!$I$30,Variables!$I$33,Variables!$J$72)</f>
        <v>0</v>
      </c>
      <c r="Y72" s="140" t="str" cm="1">
        <f t="array" ref="Y72">_xll.GetData("Description", "DEPT = "&amp;$X$72, "DEPT")</f>
        <v>Default</v>
      </c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</row>
    <row r="73" spans="1:56" ht="16.5" customHeight="1">
      <c r="A73" s="22"/>
      <c r="B73" s="22"/>
      <c r="C73" s="18"/>
      <c r="D73" s="19"/>
      <c r="E73" s="72"/>
      <c r="F73" s="118" t="str">
        <f>"For The "&amp;Variables!I21</f>
        <v>For The Period Ending February 29, 2020</v>
      </c>
      <c r="G73" s="72"/>
      <c r="I73" s="118"/>
      <c r="J73" s="94"/>
      <c r="K73" s="22"/>
      <c r="L73" s="22"/>
      <c r="M73" s="22"/>
      <c r="N73" s="22"/>
      <c r="O73" s="22"/>
      <c r="P73" s="133"/>
      <c r="Q73" s="22"/>
      <c r="R73" s="22"/>
      <c r="S73" s="22"/>
      <c r="T73" s="22"/>
      <c r="U73" s="22"/>
      <c r="V73" s="22"/>
      <c r="W73" s="54" t="s">
        <v>456</v>
      </c>
      <c r="X73" s="140" t="str" cm="1">
        <f t="array" ref="X73">_xll.GetData("Manager", "DEPT = "&amp;$X$72, "DEPT")</f>
        <v>NA</v>
      </c>
      <c r="Y73" s="120"/>
      <c r="Z73" s="22"/>
      <c r="AA73" s="22"/>
      <c r="AB73" s="22"/>
      <c r="AC73" s="22"/>
      <c r="AD73" s="22"/>
      <c r="AE73" s="22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ht="16.5" customHeight="1">
      <c r="A74" s="22"/>
      <c r="B74" s="22"/>
      <c r="C74" s="18"/>
      <c r="D74" s="19"/>
      <c r="E74" s="72"/>
      <c r="F74" s="118" t="str" cm="1">
        <f t="array" ref="F74">IF(I46 = "","",I46&amp;("-"&amp;_xll.GetData("Dept.Description","Dept = "&amp;I46)))</f>
        <v>27640-EMC Surgery</v>
      </c>
      <c r="G74" s="22"/>
      <c r="I74" s="118"/>
      <c r="J74" s="22"/>
      <c r="K74" s="22"/>
      <c r="L74" s="22"/>
      <c r="M74" s="22"/>
      <c r="N74" s="22"/>
      <c r="O74" s="22"/>
      <c r="P74" s="133"/>
      <c r="Q74" s="22"/>
      <c r="R74" s="22"/>
      <c r="S74" s="22"/>
      <c r="T74" s="22"/>
      <c r="U74" s="22"/>
      <c r="V74" s="22"/>
      <c r="W74" s="54"/>
      <c r="X74" s="140"/>
      <c r="Y74" s="120"/>
      <c r="Z74" s="22"/>
      <c r="AA74" s="22"/>
      <c r="AB74" s="22"/>
      <c r="AC74" s="22"/>
      <c r="AD74" s="22"/>
      <c r="AE74" s="22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256" customFormat="1">
      <c r="A75" s="22"/>
      <c r="B75" s="22"/>
      <c r="C75" s="252"/>
      <c r="D75" s="253"/>
      <c r="E75" s="22"/>
      <c r="F75" s="254"/>
      <c r="G75" s="22"/>
      <c r="H75" s="254"/>
      <c r="I75" s="254"/>
      <c r="J75" s="254"/>
      <c r="K75" s="254" t="s">
        <v>314</v>
      </c>
      <c r="L75" s="254" t="s">
        <v>425</v>
      </c>
      <c r="M75" s="22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 t="s">
        <v>571</v>
      </c>
      <c r="AD75" s="254" t="s">
        <v>571</v>
      </c>
      <c r="AE75" s="254" t="s">
        <v>571</v>
      </c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</row>
    <row r="76" spans="1:56" s="256" customFormat="1" ht="18" customHeight="1">
      <c r="A76" s="22"/>
      <c r="B76" s="22"/>
      <c r="C76" s="252"/>
      <c r="D76" s="253"/>
      <c r="E76" s="22"/>
      <c r="F76" s="254" t="str">
        <f>F3</f>
        <v>Dept.Dept</v>
      </c>
      <c r="G76" s="22"/>
      <c r="H76" s="254" t="str">
        <f>H3</f>
        <v>Acct.Acct</v>
      </c>
      <c r="I76" s="254" t="s">
        <v>577</v>
      </c>
      <c r="J76" s="254" t="s">
        <v>561</v>
      </c>
      <c r="K76" s="254" t="s">
        <v>19</v>
      </c>
      <c r="L76" s="254" t="s">
        <v>388</v>
      </c>
      <c r="M76" s="22"/>
      <c r="N76" s="254" t="str" cm="1">
        <f t="array" ref="N76">_xll.GetData("Period.Month", "Code = "&amp;N$48)</f>
        <v>July</v>
      </c>
      <c r="O76" s="254" t="str" cm="1">
        <f t="array" ref="O76">_xll.GetData("Period.Month", "Code = "&amp;O$48)</f>
        <v>August</v>
      </c>
      <c r="P76" s="254" t="str" cm="1">
        <f t="array" ref="P76">_xll.GetData("Period.Month", "Code = "&amp;P$48)</f>
        <v>September</v>
      </c>
      <c r="Q76" s="254" t="str" cm="1">
        <f t="array" ref="Q76">_xll.GetData("Period.Month", "Code = "&amp;Q$48)</f>
        <v>October</v>
      </c>
      <c r="R76" s="254" t="str" cm="1">
        <f t="array" ref="R76">_xll.GetData("Period.Month", "Code = "&amp;R$48)</f>
        <v>November</v>
      </c>
      <c r="S76" s="254" t="str" cm="1">
        <f t="array" ref="S76">_xll.GetData("Period.Month", "Code = "&amp;S$48)</f>
        <v>December</v>
      </c>
      <c r="T76" s="254" t="str" cm="1">
        <f t="array" ref="T76">_xll.GetData("Period.Month", "Code = "&amp;T$48)</f>
        <v>January</v>
      </c>
      <c r="U76" s="254" t="str" cm="1">
        <f t="array" ref="U76">_xll.GetData("Period.Month", "Code = "&amp;U$48)</f>
        <v>February</v>
      </c>
      <c r="V76" s="254" t="str" cm="1">
        <f t="array" ref="V76">_xll.GetData("Period.Month", "Code = "&amp;V$48)</f>
        <v>March</v>
      </c>
      <c r="W76" s="254" t="str" cm="1">
        <f t="array" ref="W76">_xll.GetData("Period.Month", "Code = "&amp;W$48)</f>
        <v>April</v>
      </c>
      <c r="X76" s="254" t="str" cm="1">
        <f t="array" ref="X76">_xll.GetData("Period.Month", "Code = "&amp;X$48)</f>
        <v>May</v>
      </c>
      <c r="Y76" s="254" t="str" cm="1">
        <f t="array" ref="Y76">_xll.GetData("Period.Month", "Code = "&amp;Y$48)</f>
        <v>June</v>
      </c>
      <c r="Z76" s="254" t="s">
        <v>313</v>
      </c>
      <c r="AA76" s="254" t="s">
        <v>261</v>
      </c>
      <c r="AB76" s="254" t="s">
        <v>574</v>
      </c>
      <c r="AC76" s="254" t="s">
        <v>572</v>
      </c>
      <c r="AD76" s="254" t="s">
        <v>573</v>
      </c>
      <c r="AE76" s="254" t="s">
        <v>314</v>
      </c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</row>
    <row r="77" spans="1:56">
      <c r="A77" s="1"/>
      <c r="B77" s="1"/>
      <c r="C77" s="18"/>
      <c r="D77" s="19"/>
      <c r="E77" s="72"/>
      <c r="F77" s="72"/>
      <c r="G77" s="72"/>
      <c r="H77" s="4"/>
      <c r="I77" s="142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>
      <c r="A78" s="1"/>
      <c r="B78" s="1"/>
      <c r="C78" s="18"/>
      <c r="D78" s="19"/>
      <c r="E78" s="72"/>
      <c r="F78" s="72"/>
      <c r="G78" s="72"/>
      <c r="H78" s="1"/>
      <c r="I78" s="11" t="s">
        <v>355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>
      <c r="A79" s="149" t="str">
        <f>"[AQ1;"&amp;B79&amp;"]"</f>
        <v>[AQ1;ACCT.BudgetType IN ('KeyIP', 'KeyOP', 'KeyOth')]</v>
      </c>
      <c r="B79" s="247" t="str">
        <f>"ACCT.BudgetType IN ('KeyIP', 'KeyOP', 'KeyOth')"</f>
        <v>ACCT.BudgetType IN ('KeyIP', 'KeyOP', 'KeyOth')</v>
      </c>
      <c r="C79" s="18"/>
      <c r="D79" s="19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5"/>
      <c r="AB79" s="35"/>
      <c r="AC79" s="32"/>
      <c r="AD79" s="32"/>
      <c r="AE79" s="1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>
      <c r="A80" s="16" t="s">
        <v>292</v>
      </c>
      <c r="B80" s="86"/>
      <c r="C80" s="18"/>
      <c r="D80" s="19"/>
      <c r="E80" s="86"/>
      <c r="F80" s="86"/>
      <c r="G80" s="86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>
      <c r="A81" s="7"/>
      <c r="B81" s="86"/>
      <c r="C81" s="18"/>
      <c r="D81" s="19"/>
      <c r="E81" s="86"/>
      <c r="F81" s="86"/>
      <c r="G81" s="86"/>
      <c r="H81" s="47"/>
      <c r="I81" s="13" t="str">
        <f>"   Total "&amp;I78</f>
        <v xml:space="preserve">   Total Key Statistics</v>
      </c>
      <c r="J81" s="13"/>
      <c r="K81" s="13"/>
      <c r="L81" s="13"/>
      <c r="M81" s="13"/>
      <c r="N81" s="5">
        <f>SUMIF($I78:$I80,"Total",(N78:N80))</f>
        <v>0</v>
      </c>
      <c r="O81" s="5">
        <f>SUMIF($I78:$I80,"Total",(O78:O80))</f>
        <v>0</v>
      </c>
      <c r="P81" s="5">
        <f>SUMIF($I78:$I80,"Total",(P78:P80))</f>
        <v>0</v>
      </c>
      <c r="Q81" s="5">
        <f>SUMIF($I78:$I80,"Total",(Q78:Q80))</f>
        <v>0</v>
      </c>
      <c r="R81" s="5">
        <f>SUMIF($I78:$I80,"Total",(R78:R80))</f>
        <v>0</v>
      </c>
      <c r="S81" s="5">
        <f>SUMIF($I78:$I80,"Total",(S78:S80))</f>
        <v>0</v>
      </c>
      <c r="T81" s="5">
        <f>SUMIF($I78:$I80,"Total",(T78:T80))</f>
        <v>0</v>
      </c>
      <c r="U81" s="5">
        <f>SUMIF($I78:$I80,"Total",(U78:U80))</f>
        <v>0</v>
      </c>
      <c r="V81" s="5">
        <f>SUMIF($I78:$I80,"Total",(V78:V80))</f>
        <v>0</v>
      </c>
      <c r="W81" s="5">
        <f>SUMIF($I78:$I80,"Total",(W78:W80))</f>
        <v>0</v>
      </c>
      <c r="X81" s="5">
        <f>SUMIF($I78:$I80,"Total",(X78:X80))</f>
        <v>0</v>
      </c>
      <c r="Y81" s="5">
        <f>SUMIF($I78:$I80,"Total",(Y78:Y80))</f>
        <v>0</v>
      </c>
      <c r="Z81" s="5">
        <f>SUM(Z78:Z80)</f>
        <v>0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>
      <c r="A82" s="1"/>
      <c r="B82" s="86"/>
      <c r="C82" s="18"/>
      <c r="D82" s="19"/>
      <c r="E82" s="86"/>
      <c r="F82" s="86"/>
      <c r="G82" s="86"/>
      <c r="H82" s="4"/>
      <c r="I82" s="7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>
      <c r="A83" s="1"/>
      <c r="B83" s="50" t="s">
        <v>562</v>
      </c>
      <c r="C83" s="18"/>
      <c r="D83" s="19"/>
      <c r="E83" s="72"/>
      <c r="F83" s="72"/>
      <c r="G83" s="72"/>
      <c r="H83" s="1"/>
      <c r="I83" s="11" t="s">
        <v>291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>
      <c r="A84" s="149" t="str">
        <f>"[AQ1;"&amp;B84&amp;"]"</f>
        <v>[AQ1;ACCT.BudgetType='OthStat']</v>
      </c>
      <c r="B84" s="50" t="str">
        <f>"ACCT.BudgetType='"&amp;B83&amp;"'"</f>
        <v>ACCT.BudgetType='OthStat'</v>
      </c>
      <c r="C84" s="18"/>
      <c r="D84" s="19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5"/>
      <c r="AB84" s="35"/>
      <c r="AC84" s="32"/>
      <c r="AD84" s="32"/>
      <c r="AE84" s="1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>
      <c r="A85" s="16" t="s">
        <v>292</v>
      </c>
      <c r="B85" s="86"/>
      <c r="C85" s="18"/>
      <c r="D85" s="19"/>
      <c r="E85" s="86"/>
      <c r="F85" s="86"/>
      <c r="G85" s="86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>
      <c r="A86" s="7"/>
      <c r="B86" s="86"/>
      <c r="C86" s="18"/>
      <c r="D86" s="19"/>
      <c r="E86" s="86"/>
      <c r="F86" s="86"/>
      <c r="G86" s="86"/>
      <c r="H86" s="47"/>
      <c r="I86" s="13" t="str">
        <f>"   Total "&amp;I83</f>
        <v xml:space="preserve">   Total Other Statistics</v>
      </c>
      <c r="J86" s="13"/>
      <c r="K86" s="13"/>
      <c r="L86" s="13"/>
      <c r="M86" s="13"/>
      <c r="N86" s="5">
        <f t="shared" ref="N86:Y86" si="55">SUMIF($I83:$I85,"Total",(N83:N85))</f>
        <v>0</v>
      </c>
      <c r="O86" s="5">
        <f t="shared" si="55"/>
        <v>0</v>
      </c>
      <c r="P86" s="5">
        <f t="shared" si="55"/>
        <v>0</v>
      </c>
      <c r="Q86" s="5">
        <f t="shared" si="55"/>
        <v>0</v>
      </c>
      <c r="R86" s="5">
        <f t="shared" si="55"/>
        <v>0</v>
      </c>
      <c r="S86" s="5">
        <f t="shared" si="55"/>
        <v>0</v>
      </c>
      <c r="T86" s="5">
        <f t="shared" si="55"/>
        <v>0</v>
      </c>
      <c r="U86" s="5">
        <f t="shared" si="55"/>
        <v>0</v>
      </c>
      <c r="V86" s="5">
        <f t="shared" si="55"/>
        <v>0</v>
      </c>
      <c r="W86" s="5">
        <f t="shared" si="55"/>
        <v>0</v>
      </c>
      <c r="X86" s="5">
        <f t="shared" si="55"/>
        <v>0</v>
      </c>
      <c r="Y86" s="5">
        <f t="shared" si="55"/>
        <v>0</v>
      </c>
      <c r="Z86" s="5">
        <f>SUM(Z83:Z85)</f>
        <v>0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>
      <c r="A87" s="1"/>
      <c r="B87" s="86"/>
      <c r="C87" s="18"/>
      <c r="D87" s="19"/>
      <c r="E87" s="86"/>
      <c r="F87" s="86"/>
      <c r="G87" s="86"/>
      <c r="H87" s="4"/>
      <c r="I87" s="7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>
      <c r="A88" s="1"/>
      <c r="B88" s="86"/>
      <c r="C88" s="18"/>
      <c r="D88" s="19"/>
      <c r="E88" s="86"/>
      <c r="F88" s="86"/>
      <c r="G88" s="86"/>
      <c r="H88" s="4"/>
      <c r="I88" s="11" t="s">
        <v>527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>
      <c r="A89" s="1"/>
      <c r="B89" s="1"/>
      <c r="C89" s="18"/>
      <c r="D89" s="19"/>
      <c r="E89" s="86"/>
      <c r="F89" s="86"/>
      <c r="G89" s="86"/>
      <c r="H89" s="4"/>
      <c r="I89" s="7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>
      <c r="A90" s="1"/>
      <c r="B90" s="50" t="s">
        <v>111</v>
      </c>
      <c r="C90" s="18"/>
      <c r="D90" s="19"/>
      <c r="E90" s="86"/>
      <c r="F90" s="86"/>
      <c r="G90" s="86"/>
      <c r="H90" s="4"/>
      <c r="I90" s="83" t="s">
        <v>427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>
      <c r="A91" s="89" t="str">
        <f>"[AQ2;"&amp;B91&amp;"]"</f>
        <v>[AQ2;ACCT.BudgetType='IPRev']</v>
      </c>
      <c r="B91" s="50" t="str">
        <f>"ACCT.BudgetType='"&amp;B90&amp;"'"</f>
        <v>ACCT.BudgetType='IPRev'</v>
      </c>
      <c r="C91" s="18"/>
      <c r="D91" s="19"/>
      <c r="E91" s="86"/>
      <c r="F91" s="86"/>
      <c r="G91" s="86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>
      <c r="A92" s="15" t="s">
        <v>292</v>
      </c>
      <c r="B92" s="58"/>
      <c r="C92" s="18"/>
      <c r="D92" s="19"/>
      <c r="E92" s="86"/>
      <c r="F92" s="86"/>
      <c r="G92" s="86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5"/>
      <c r="AB92" s="35"/>
      <c r="AC92" s="32"/>
      <c r="AD92" s="32"/>
      <c r="AE92" s="1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>
      <c r="A93" s="7"/>
      <c r="B93" s="76"/>
      <c r="C93" s="18"/>
      <c r="D93" s="19"/>
      <c r="E93" s="86"/>
      <c r="F93" s="86"/>
      <c r="G93" s="86"/>
      <c r="H93" s="47"/>
      <c r="I93" s="13" t="str">
        <f>"   Total "&amp;I90</f>
        <v xml:space="preserve">   Total Inpatient Revenue</v>
      </c>
      <c r="J93" s="13"/>
      <c r="K93" s="13"/>
      <c r="L93" s="13"/>
      <c r="M93" s="13"/>
      <c r="N93" s="5">
        <f>SUMIF($I90:$I92,"Total",(N90:N92))</f>
        <v>0</v>
      </c>
      <c r="O93" s="5">
        <f>SUMIF($I90:$I92,"Total",(O90:O92))</f>
        <v>0</v>
      </c>
      <c r="P93" s="5">
        <f>SUMIF($I90:$I92,"Total",(P90:P92))</f>
        <v>0</v>
      </c>
      <c r="Q93" s="5">
        <f>SUMIF($I90:$I92,"Total",(Q90:Q92))</f>
        <v>0</v>
      </c>
      <c r="R93" s="5">
        <f>SUMIF($I90:$I92,"Total",(R90:R92))</f>
        <v>0</v>
      </c>
      <c r="S93" s="5">
        <f>SUMIF($I90:$I92,"Total",(S90:S92))</f>
        <v>0</v>
      </c>
      <c r="T93" s="5">
        <f>SUMIF($I90:$I92,"Total",(T90:T92))</f>
        <v>0</v>
      </c>
      <c r="U93" s="5">
        <f>SUMIF($I90:$I92,"Total",(U90:U92))</f>
        <v>0</v>
      </c>
      <c r="V93" s="5">
        <f>SUMIF($I90:$I92,"Total",(V90:V92))</f>
        <v>0</v>
      </c>
      <c r="W93" s="5">
        <f>SUMIF($I90:$I92,"Total",(W90:W92))</f>
        <v>0</v>
      </c>
      <c r="X93" s="5">
        <f>SUMIF($I90:$I92,"Total",(X90:X92))</f>
        <v>0</v>
      </c>
      <c r="Y93" s="5">
        <f>SUMIF($I90:$I92,"Total",(Y90:Y92))</f>
        <v>0</v>
      </c>
      <c r="Z93" s="5">
        <f>SUM(Z88:Z92)</f>
        <v>0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>
      <c r="A94" s="7"/>
      <c r="B94" s="76"/>
      <c r="C94" s="18"/>
      <c r="D94" s="19"/>
      <c r="E94" s="86"/>
      <c r="F94" s="86"/>
      <c r="G94" s="86"/>
      <c r="H94" s="47"/>
      <c r="I94" s="6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  <row r="95" spans="1:56">
      <c r="A95" s="1"/>
      <c r="B95" s="50" t="s">
        <v>389</v>
      </c>
      <c r="C95" s="18"/>
      <c r="D95" s="19"/>
      <c r="E95" s="86"/>
      <c r="F95" s="86"/>
      <c r="G95" s="86"/>
      <c r="H95" s="4"/>
      <c r="I95" s="83" t="s">
        <v>493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>
      <c r="A96" s="89" t="str">
        <f>"[AQ2;"&amp;B96&amp;"]"</f>
        <v>[AQ2;ACCT.BudgetType='OPRev']</v>
      </c>
      <c r="B96" s="50" t="str">
        <f>"ACCT.BudgetType='"&amp;B95&amp;"'"</f>
        <v>ACCT.BudgetType='OPRev'</v>
      </c>
      <c r="C96" s="18"/>
      <c r="D96" s="19"/>
      <c r="E96" s="86"/>
      <c r="F96" s="86"/>
      <c r="G96" s="86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5"/>
      <c r="AB96" s="35"/>
      <c r="AC96" s="32"/>
      <c r="AD96" s="32"/>
      <c r="AE96" s="1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>
      <c r="A97" s="15" t="s">
        <v>292</v>
      </c>
      <c r="B97" s="58"/>
      <c r="C97" s="18"/>
      <c r="D97" s="19"/>
      <c r="E97" s="86"/>
      <c r="F97" s="86"/>
      <c r="G97" s="86"/>
      <c r="H97" s="4"/>
      <c r="I97" s="4"/>
      <c r="J97" s="4"/>
      <c r="K97" s="4"/>
      <c r="L97" s="4"/>
      <c r="M97" s="2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2"/>
      <c r="AA97" s="35"/>
      <c r="AB97" s="35"/>
      <c r="AC97" s="32"/>
      <c r="AD97" s="32"/>
      <c r="AE97" s="1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1:56">
      <c r="A98" s="7"/>
      <c r="B98" s="76"/>
      <c r="C98" s="18"/>
      <c r="D98" s="19"/>
      <c r="E98" s="86"/>
      <c r="F98" s="86"/>
      <c r="G98" s="86"/>
      <c r="H98" s="47"/>
      <c r="I98" s="13" t="str">
        <f>"   Total "&amp;I95</f>
        <v xml:space="preserve">   Total Outpatient Revenue</v>
      </c>
      <c r="J98" s="13"/>
      <c r="K98" s="13"/>
      <c r="L98" s="13"/>
      <c r="M98" s="13"/>
      <c r="N98" s="5">
        <f>SUMIF($I95:$I97,"Total",(N95:N97))</f>
        <v>0</v>
      </c>
      <c r="O98" s="5">
        <f>SUMIF($I95:$I97,"Total",(O95:O97))</f>
        <v>0</v>
      </c>
      <c r="P98" s="5">
        <f>SUMIF($I95:$I97,"Total",(P95:P97))</f>
        <v>0</v>
      </c>
      <c r="Q98" s="5">
        <f>SUMIF($I95:$I97,"Total",(Q95:Q97))</f>
        <v>0</v>
      </c>
      <c r="R98" s="5">
        <f>SUMIF($I95:$I97,"Total",(R95:R97))</f>
        <v>0</v>
      </c>
      <c r="S98" s="5">
        <f>SUMIF($I95:$I97,"Total",(S95:S97))</f>
        <v>0</v>
      </c>
      <c r="T98" s="5">
        <f>SUMIF($I95:$I97,"Total",(T95:T97))</f>
        <v>0</v>
      </c>
      <c r="U98" s="5">
        <f>SUMIF($I95:$I97,"Total",(U95:U97))</f>
        <v>0</v>
      </c>
      <c r="V98" s="5">
        <f>SUMIF($I95:$I97,"Total",(V95:V97))</f>
        <v>0</v>
      </c>
      <c r="W98" s="5">
        <f>SUMIF($I95:$I97,"Total",(W95:W97))</f>
        <v>0</v>
      </c>
      <c r="X98" s="5">
        <f>SUMIF($I95:$I97,"Total",(X95:X97))</f>
        <v>0</v>
      </c>
      <c r="Y98" s="5">
        <f>SUMIF($I95:$I97,"Total",(Y95:Y97))</f>
        <v>0</v>
      </c>
      <c r="Z98" s="5">
        <f>SUM(Z95:Z97)</f>
        <v>0</v>
      </c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</row>
    <row r="99" spans="1:56">
      <c r="A99" s="7"/>
      <c r="B99" s="76"/>
      <c r="C99" s="18"/>
      <c r="D99" s="19"/>
      <c r="E99" s="86"/>
      <c r="F99" s="86"/>
      <c r="G99" s="86"/>
      <c r="H99" s="47"/>
      <c r="I99" s="6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</row>
    <row r="100" spans="1:56">
      <c r="A100" s="1"/>
      <c r="B100" s="50" t="s">
        <v>260</v>
      </c>
      <c r="C100" s="18"/>
      <c r="D100" s="19"/>
      <c r="E100" s="86"/>
      <c r="F100" s="86"/>
      <c r="G100" s="86"/>
      <c r="H100" s="4"/>
      <c r="I100" s="83" t="s">
        <v>77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>
      <c r="A101" s="89" t="str">
        <f>"[AQ2;"&amp;B101&amp;"]"</f>
        <v>[AQ2;ACCT.BudgetType='OthPtRev']</v>
      </c>
      <c r="B101" s="50" t="str">
        <f>"ACCT.BudgetType='"&amp;B100&amp;"'"</f>
        <v>ACCT.BudgetType='OthPtRev'</v>
      </c>
      <c r="C101" s="18"/>
      <c r="D101" s="19"/>
      <c r="E101" s="86"/>
      <c r="F101" s="86"/>
      <c r="G101" s="86"/>
      <c r="H101" s="4"/>
      <c r="I101" s="4"/>
      <c r="J101" s="4"/>
      <c r="K101" s="4"/>
      <c r="L101" s="4"/>
      <c r="M101" s="2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2"/>
      <c r="AA101" s="35"/>
      <c r="AB101" s="35"/>
      <c r="AC101" s="32"/>
      <c r="AD101" s="32"/>
      <c r="AE101" s="1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>
      <c r="A102" s="15" t="s">
        <v>292</v>
      </c>
      <c r="B102" s="58"/>
      <c r="C102" s="18"/>
      <c r="D102" s="19"/>
      <c r="E102" s="86"/>
      <c r="F102" s="86"/>
      <c r="G102" s="86"/>
      <c r="H102" s="4"/>
      <c r="I102" s="4"/>
      <c r="J102" s="4"/>
      <c r="K102" s="4"/>
      <c r="L102" s="4"/>
      <c r="M102" s="2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2"/>
      <c r="AA102" s="35"/>
      <c r="AB102" s="35"/>
      <c r="AC102" s="32"/>
      <c r="AD102" s="32"/>
      <c r="AE102" s="1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>
      <c r="A103" s="7"/>
      <c r="B103" s="76"/>
      <c r="C103" s="18"/>
      <c r="D103" s="19"/>
      <c r="E103" s="86"/>
      <c r="F103" s="86"/>
      <c r="G103" s="86"/>
      <c r="H103" s="47"/>
      <c r="I103" s="13" t="str">
        <f>"   Total "&amp;I100</f>
        <v xml:space="preserve">   Total Other Patient Revenue</v>
      </c>
      <c r="J103" s="13"/>
      <c r="K103" s="13"/>
      <c r="L103" s="13"/>
      <c r="M103" s="13"/>
      <c r="N103" s="5">
        <f t="shared" ref="N103:Y103" si="56">SUMIF($I100:$I102,"Total",(N100:N102))</f>
        <v>0</v>
      </c>
      <c r="O103" s="5">
        <f t="shared" si="56"/>
        <v>0</v>
      </c>
      <c r="P103" s="5">
        <f t="shared" si="56"/>
        <v>0</v>
      </c>
      <c r="Q103" s="5">
        <f t="shared" si="56"/>
        <v>0</v>
      </c>
      <c r="R103" s="5">
        <f t="shared" si="56"/>
        <v>0</v>
      </c>
      <c r="S103" s="5">
        <f t="shared" si="56"/>
        <v>0</v>
      </c>
      <c r="T103" s="5">
        <f t="shared" si="56"/>
        <v>0</v>
      </c>
      <c r="U103" s="5">
        <f t="shared" si="56"/>
        <v>0</v>
      </c>
      <c r="V103" s="5">
        <f t="shared" si="56"/>
        <v>0</v>
      </c>
      <c r="W103" s="5">
        <f t="shared" si="56"/>
        <v>0</v>
      </c>
      <c r="X103" s="5">
        <f t="shared" si="56"/>
        <v>0</v>
      </c>
      <c r="Y103" s="5">
        <f t="shared" si="56"/>
        <v>0</v>
      </c>
      <c r="Z103" s="5">
        <f>SUM(Z100:Z102)</f>
        <v>0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</row>
    <row r="104" spans="1:56">
      <c r="A104" s="7"/>
      <c r="B104" s="76"/>
      <c r="C104" s="18"/>
      <c r="D104" s="19"/>
      <c r="E104" s="86"/>
      <c r="F104" s="86"/>
      <c r="G104" s="86"/>
      <c r="H104" s="47"/>
      <c r="I104" s="6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</row>
    <row r="105" spans="1:56">
      <c r="A105" s="1"/>
      <c r="B105" s="50" t="s">
        <v>528</v>
      </c>
      <c r="C105" s="18"/>
      <c r="D105" s="19"/>
      <c r="E105" s="86"/>
      <c r="F105" s="86"/>
      <c r="G105" s="86"/>
      <c r="H105" s="4"/>
      <c r="I105" s="83" t="s">
        <v>390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>
      <c r="A106" s="89" t="str">
        <f>"[AQ2;"&amp;B106&amp;"]"</f>
        <v>[AQ2;ACCT.BudgetType='OtherRev']</v>
      </c>
      <c r="B106" s="50" t="str">
        <f>"ACCT.BudgetType='"&amp;B105&amp;"'"</f>
        <v>ACCT.BudgetType='OtherRev'</v>
      </c>
      <c r="C106" s="18"/>
      <c r="D106" s="19"/>
      <c r="E106" s="86"/>
      <c r="F106" s="86"/>
      <c r="G106" s="8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1:56">
      <c r="A107" s="15" t="s">
        <v>292</v>
      </c>
      <c r="B107" s="58"/>
      <c r="C107" s="18"/>
      <c r="D107" s="19"/>
      <c r="E107" s="86"/>
      <c r="F107" s="86"/>
      <c r="G107" s="8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32"/>
      <c r="AD107" s="32"/>
      <c r="AE107" s="1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1:56">
      <c r="A108" s="7"/>
      <c r="B108" s="76"/>
      <c r="C108" s="18"/>
      <c r="D108" s="19"/>
      <c r="E108" s="86"/>
      <c r="F108" s="86"/>
      <c r="G108" s="86"/>
      <c r="H108" s="47"/>
      <c r="I108" s="13" t="str">
        <f>"   Total "&amp;I105</f>
        <v xml:space="preserve">   Total Other Operating Revenue</v>
      </c>
      <c r="J108" s="13"/>
      <c r="K108" s="13"/>
      <c r="L108" s="13"/>
      <c r="M108" s="13"/>
      <c r="N108" s="5">
        <f t="shared" ref="N108:Y108" si="57">SUMIF($I105:$I107,"Total",(N105:N107))</f>
        <v>0</v>
      </c>
      <c r="O108" s="5">
        <f t="shared" si="57"/>
        <v>0</v>
      </c>
      <c r="P108" s="5">
        <f t="shared" si="57"/>
        <v>0</v>
      </c>
      <c r="Q108" s="5">
        <f t="shared" si="57"/>
        <v>0</v>
      </c>
      <c r="R108" s="5">
        <f t="shared" si="57"/>
        <v>0</v>
      </c>
      <c r="S108" s="5">
        <f t="shared" si="57"/>
        <v>0</v>
      </c>
      <c r="T108" s="5">
        <f t="shared" si="57"/>
        <v>0</v>
      </c>
      <c r="U108" s="5">
        <f t="shared" si="57"/>
        <v>0</v>
      </c>
      <c r="V108" s="5">
        <f t="shared" si="57"/>
        <v>0</v>
      </c>
      <c r="W108" s="5">
        <f t="shared" si="57"/>
        <v>0</v>
      </c>
      <c r="X108" s="5">
        <f t="shared" si="57"/>
        <v>0</v>
      </c>
      <c r="Y108" s="5">
        <f t="shared" si="57"/>
        <v>0</v>
      </c>
      <c r="Z108" s="5">
        <f>SUM(Z105:Z107)</f>
        <v>0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</row>
    <row r="109" spans="1:56">
      <c r="A109" s="1"/>
      <c r="B109" s="1"/>
      <c r="C109" s="18"/>
      <c r="D109" s="19"/>
      <c r="E109" s="86"/>
      <c r="F109" s="86"/>
      <c r="G109" s="86"/>
      <c r="H109" s="4"/>
      <c r="I109" s="7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>
      <c r="A110" s="1"/>
      <c r="B110" s="1"/>
      <c r="C110" s="18"/>
      <c r="D110" s="19"/>
      <c r="E110" s="86"/>
      <c r="F110" s="86"/>
      <c r="G110" s="86"/>
      <c r="H110" s="4"/>
      <c r="I110" s="7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>
      <c r="A111" s="1"/>
      <c r="B111" s="1"/>
      <c r="C111" s="18"/>
      <c r="D111" s="19"/>
      <c r="E111" s="86"/>
      <c r="F111" s="86"/>
      <c r="G111" s="86"/>
      <c r="H111" s="4"/>
      <c r="I111" s="11" t="s">
        <v>112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>
      <c r="A112" s="7"/>
      <c r="B112" s="50" t="s">
        <v>399</v>
      </c>
      <c r="C112" s="18"/>
      <c r="D112" s="19"/>
      <c r="E112" s="86"/>
      <c r="F112" s="86"/>
      <c r="G112" s="86"/>
      <c r="H112" s="47"/>
      <c r="I112" s="54" t="s">
        <v>112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>
      <c r="A113" s="79" t="str">
        <f>"[AQ3;"&amp;B113&amp;"]"</f>
        <v>[AQ3;ACCT.BudgetType='Deduction']</v>
      </c>
      <c r="B113" s="50" t="str">
        <f>"ACCT.BudgetType='"&amp;B112&amp;"'"</f>
        <v>ACCT.BudgetType='Deduction'</v>
      </c>
      <c r="C113" s="18"/>
      <c r="D113" s="19"/>
      <c r="E113" s="86"/>
      <c r="F113" s="86"/>
      <c r="G113" s="86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>
      <c r="A114" s="14" t="s">
        <v>292</v>
      </c>
      <c r="B114" s="50"/>
      <c r="C114" s="18"/>
      <c r="D114" s="19"/>
      <c r="E114" s="86"/>
      <c r="F114" s="86"/>
      <c r="G114" s="86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5"/>
      <c r="AB114" s="35"/>
      <c r="AC114" s="32"/>
      <c r="AD114" s="32"/>
      <c r="AE114" s="1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>
      <c r="A115" s="7"/>
      <c r="B115" s="50" t="s">
        <v>428</v>
      </c>
      <c r="C115" s="18"/>
      <c r="D115" s="19"/>
      <c r="E115" s="86"/>
      <c r="F115" s="86"/>
      <c r="G115" s="86"/>
      <c r="H115" s="47"/>
      <c r="I115" s="13" t="str">
        <f>"   Total "&amp;I112</f>
        <v xml:space="preserve">   Total Deductions</v>
      </c>
      <c r="J115" s="13"/>
      <c r="K115" s="13"/>
      <c r="L115" s="13"/>
      <c r="M115" s="13"/>
      <c r="N115" s="5">
        <f>SUMIF($I112:$I114,"Total",(N112:N114))</f>
        <v>0</v>
      </c>
      <c r="O115" s="5">
        <f>SUMIF($I112:$I114,"Total",(O112:O114))</f>
        <v>0</v>
      </c>
      <c r="P115" s="5">
        <f>SUMIF($I112:$I114,"Total",(P112:P114))</f>
        <v>0</v>
      </c>
      <c r="Q115" s="5">
        <f>SUMIF($I112:$I114,"Total",(Q112:Q114))</f>
        <v>0</v>
      </c>
      <c r="R115" s="5">
        <f>SUMIF($I112:$I114,"Total",(R112:R114))</f>
        <v>0</v>
      </c>
      <c r="S115" s="5">
        <f>SUMIF($I112:$I114,"Total",(S112:S114))</f>
        <v>0</v>
      </c>
      <c r="T115" s="5">
        <f>SUMIF($I112:$I114,"Total",(T112:T114))</f>
        <v>0</v>
      </c>
      <c r="U115" s="5">
        <f>SUMIF($I112:$I114,"Total",(U112:U114))</f>
        <v>0</v>
      </c>
      <c r="V115" s="5">
        <f>SUMIF($I112:$I114,"Total",(V112:V114))</f>
        <v>0</v>
      </c>
      <c r="W115" s="5">
        <f>SUMIF($I112:$I114,"Total",(W112:W114))</f>
        <v>0</v>
      </c>
      <c r="X115" s="5">
        <f>SUMIF($I112:$I114,"Total",(X112:X114))</f>
        <v>0</v>
      </c>
      <c r="Y115" s="5">
        <f>SUMIF($I112:$I114,"Total",(Y112:Y114))</f>
        <v>0</v>
      </c>
      <c r="Z115" s="5">
        <f>SUM(Z112:Z114)</f>
        <v>0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>
      <c r="A116" s="7"/>
      <c r="B116" s="76"/>
      <c r="C116" s="18"/>
      <c r="D116" s="19"/>
      <c r="E116" s="86"/>
      <c r="F116" s="86"/>
      <c r="G116" s="86"/>
      <c r="H116" s="47"/>
      <c r="I116" s="6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</row>
    <row r="117" spans="1:56">
      <c r="A117" s="1"/>
      <c r="B117" s="1"/>
      <c r="C117" s="18"/>
      <c r="D117" s="19"/>
      <c r="E117" s="86"/>
      <c r="F117" s="86"/>
      <c r="G117" s="86"/>
      <c r="H117" s="4"/>
      <c r="I117" s="13" t="s">
        <v>463</v>
      </c>
      <c r="J117" s="13"/>
      <c r="K117" s="13"/>
      <c r="L117" s="13"/>
      <c r="M117" s="13"/>
      <c r="N117" s="5">
        <f>N93+N98+N103+N108-N115</f>
        <v>0</v>
      </c>
      <c r="O117" s="5">
        <f>O93+O98+O103+O108-O115</f>
        <v>0</v>
      </c>
      <c r="P117" s="5">
        <f>P93+P98+P103+P108-P115</f>
        <v>0</v>
      </c>
      <c r="Q117" s="5">
        <f>Q93+Q98+Q103+Q108-Q115</f>
        <v>0</v>
      </c>
      <c r="R117" s="5">
        <f>R93+R98+R103+R108-R115</f>
        <v>0</v>
      </c>
      <c r="S117" s="5">
        <f>S93+S98+S103+S108-S115</f>
        <v>0</v>
      </c>
      <c r="T117" s="5">
        <f>T93+T98+T103+T108-T115</f>
        <v>0</v>
      </c>
      <c r="U117" s="5">
        <f>U93+U98+U103+U108-U115</f>
        <v>0</v>
      </c>
      <c r="V117" s="5">
        <f>V93+V98+V103+V108-V115</f>
        <v>0</v>
      </c>
      <c r="W117" s="5">
        <f>W93+W98+W103+W108-W115</f>
        <v>0</v>
      </c>
      <c r="X117" s="5">
        <f>X93+X98+X103+X108-X115</f>
        <v>0</v>
      </c>
      <c r="Y117" s="5">
        <f>Y93+Y98+Y103+Y108-Y115</f>
        <v>0</v>
      </c>
      <c r="Z117" s="5">
        <f>Z93+Z98+Z103+Z108-Z115</f>
        <v>0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>
      <c r="A118" s="1"/>
      <c r="B118" s="1"/>
      <c r="C118" s="18"/>
      <c r="D118" s="19"/>
      <c r="E118" s="86"/>
      <c r="F118" s="86"/>
      <c r="G118" s="86"/>
      <c r="H118" s="4"/>
      <c r="I118" s="7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>
      <c r="A119" s="1"/>
      <c r="B119" s="1"/>
      <c r="C119" s="18"/>
      <c r="D119" s="19"/>
      <c r="E119" s="86"/>
      <c r="F119" s="86"/>
      <c r="G119" s="86"/>
      <c r="H119" s="4"/>
      <c r="I119" s="7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>
      <c r="A120" s="1"/>
      <c r="B120" s="50" t="s">
        <v>153</v>
      </c>
      <c r="C120" s="18"/>
      <c r="D120" s="19"/>
      <c r="E120" s="86"/>
      <c r="F120" s="86"/>
      <c r="G120" s="86"/>
      <c r="H120" s="4"/>
      <c r="I120" s="54" t="s">
        <v>316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>
      <c r="A121" s="166" t="str">
        <f>"[AQ4;"&amp;B121&amp;"]"</f>
        <v>[AQ4;ACCT.BudgetType='PaidHours']</v>
      </c>
      <c r="B121" s="50" t="str">
        <f>"ACCT.BudgetType='"&amp;B120&amp;"'"</f>
        <v>ACCT.BudgetType='PaidHours'</v>
      </c>
      <c r="C121" s="18"/>
      <c r="D121" s="19"/>
      <c r="E121" s="86"/>
      <c r="F121" s="86"/>
      <c r="G121" s="8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2"/>
      <c r="AA121" s="35"/>
      <c r="AB121" s="35"/>
      <c r="AC121" s="6"/>
      <c r="AD121" s="6"/>
      <c r="AE121" s="1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>
      <c r="A122" s="17" t="s">
        <v>292</v>
      </c>
      <c r="B122" s="58"/>
      <c r="C122" s="18"/>
      <c r="D122" s="19"/>
      <c r="E122" s="86"/>
      <c r="F122" s="86"/>
      <c r="G122" s="86"/>
      <c r="H122" s="4"/>
      <c r="I122" s="4"/>
      <c r="J122" s="4"/>
      <c r="K122" s="4"/>
      <c r="L122" s="4"/>
      <c r="M122" s="4"/>
      <c r="Z122" s="2"/>
      <c r="AA122" s="35"/>
      <c r="AB122" s="35"/>
      <c r="AC122" s="32"/>
      <c r="AD122" s="32"/>
      <c r="AE122" s="1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1:56">
      <c r="A123" s="7"/>
      <c r="B123" s="145"/>
      <c r="C123" s="18"/>
      <c r="D123" s="19"/>
      <c r="E123" s="86"/>
      <c r="F123" s="86"/>
      <c r="G123" s="86"/>
      <c r="H123" s="47"/>
      <c r="I123" s="13" t="str">
        <f>"Total "&amp;I120</f>
        <v>Total Paid Hours</v>
      </c>
      <c r="J123" s="13"/>
      <c r="K123" s="13"/>
      <c r="L123" s="13"/>
      <c r="M123" s="13"/>
      <c r="N123" s="5">
        <f>SUMIF($I120:$I122,"Total",(N120:N122))</f>
        <v>0</v>
      </c>
      <c r="O123" s="5">
        <f>SUMIF($I120:$I122,"Total",(O120:O122))</f>
        <v>0</v>
      </c>
      <c r="P123" s="5">
        <f>SUMIF($I120:$I122,"Total",(P120:P122))</f>
        <v>0</v>
      </c>
      <c r="Q123" s="5">
        <f>SUMIF($I120:$I122,"Total",(Q120:Q122))</f>
        <v>0</v>
      </c>
      <c r="R123" s="5">
        <f>SUMIF($I120:$I122,"Total",(R120:R122))</f>
        <v>0</v>
      </c>
      <c r="S123" s="5">
        <f>SUMIF($I120:$I122,"Total",(S120:S122))</f>
        <v>0</v>
      </c>
      <c r="T123" s="5">
        <f>SUMIF($I120:$I122,"Total",(T120:T122))</f>
        <v>0</v>
      </c>
      <c r="U123" s="5">
        <f>SUMIF($I120:$I122,"Total",(U120:U122))</f>
        <v>0</v>
      </c>
      <c r="V123" s="5">
        <f>SUMIF($I120:$I122,"Total",(V120:V122))</f>
        <v>0</v>
      </c>
      <c r="W123" s="5">
        <f>SUMIF($I120:$I122,"Total",(W120:W122))</f>
        <v>0</v>
      </c>
      <c r="X123" s="5">
        <f>SUMIF($I120:$I122,"Total",(X120:X122))</f>
        <v>0</v>
      </c>
      <c r="Y123" s="5">
        <f>SUMIF($I120:$I122,"Total",(Y120:Y122))</f>
        <v>0</v>
      </c>
      <c r="Z123" s="5">
        <f>SUM(Z120:Z122)</f>
        <v>0</v>
      </c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>
      <c r="A124" s="7"/>
      <c r="B124" s="76"/>
      <c r="C124" s="18"/>
      <c r="D124" s="19"/>
      <c r="E124" s="86"/>
      <c r="F124" s="86"/>
      <c r="G124" s="86"/>
      <c r="H124" s="47"/>
      <c r="I124" s="13" t="s">
        <v>357</v>
      </c>
      <c r="J124" s="13"/>
      <c r="K124" s="13"/>
      <c r="L124" s="13"/>
      <c r="M124" s="13"/>
      <c r="N124" s="193">
        <f t="shared" ref="N124:Z124" si="58">N123/(N$61*(40/7))</f>
        <v>0</v>
      </c>
      <c r="O124" s="193">
        <f t="shared" si="58"/>
        <v>0</v>
      </c>
      <c r="P124" s="193">
        <f t="shared" si="58"/>
        <v>0</v>
      </c>
      <c r="Q124" s="193">
        <f t="shared" si="58"/>
        <v>0</v>
      </c>
      <c r="R124" s="193">
        <f t="shared" si="58"/>
        <v>0</v>
      </c>
      <c r="S124" s="193">
        <f t="shared" si="58"/>
        <v>0</v>
      </c>
      <c r="T124" s="193">
        <f t="shared" si="58"/>
        <v>0</v>
      </c>
      <c r="U124" s="193">
        <f t="shared" si="58"/>
        <v>0</v>
      </c>
      <c r="V124" s="193">
        <f t="shared" si="58"/>
        <v>0</v>
      </c>
      <c r="W124" s="193">
        <f t="shared" si="58"/>
        <v>0</v>
      </c>
      <c r="X124" s="193">
        <f t="shared" si="58"/>
        <v>0</v>
      </c>
      <c r="Y124" s="193">
        <f t="shared" si="58"/>
        <v>0</v>
      </c>
      <c r="Z124" s="193">
        <f t="shared" si="58"/>
        <v>0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>
      <c r="A125" s="1"/>
      <c r="B125" s="56"/>
      <c r="C125" s="18"/>
      <c r="D125" s="19"/>
      <c r="E125" s="86"/>
      <c r="F125" s="86"/>
      <c r="G125" s="86"/>
      <c r="H125" s="1"/>
      <c r="I125" s="5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>
      <c r="A126" s="1"/>
      <c r="B126" s="1"/>
      <c r="C126" s="18"/>
      <c r="D126" s="19"/>
      <c r="E126" s="86"/>
      <c r="F126" s="86"/>
      <c r="G126" s="86"/>
      <c r="H126" s="4"/>
      <c r="I126" s="11" t="s">
        <v>529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>
      <c r="A127" s="1"/>
      <c r="B127" s="1"/>
      <c r="C127" s="18"/>
      <c r="D127" s="19"/>
      <c r="E127" s="86"/>
      <c r="F127" s="86"/>
      <c r="G127" s="86"/>
      <c r="H127" s="4"/>
      <c r="I127" s="7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>
      <c r="A128" s="1"/>
      <c r="B128" s="50" t="s">
        <v>49</v>
      </c>
      <c r="C128" s="18"/>
      <c r="D128" s="19"/>
      <c r="E128" s="86"/>
      <c r="F128" s="86"/>
      <c r="G128" s="86"/>
      <c r="H128" s="4"/>
      <c r="I128" s="54" t="s">
        <v>49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>
      <c r="A129" s="79" t="str">
        <f>"[AQ3;"&amp;B129&amp;"]"</f>
        <v>[AQ3;ACCT.BudgetType='Salaries']</v>
      </c>
      <c r="B129" s="50" t="str">
        <f>"ACCT.BudgetType='"&amp;B128&amp;"'"</f>
        <v>ACCT.BudgetType='Salaries'</v>
      </c>
      <c r="C129" s="18"/>
      <c r="D129" s="19"/>
      <c r="E129" s="86"/>
      <c r="F129" s="86"/>
      <c r="G129" s="8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>
      <c r="A130" s="14" t="s">
        <v>292</v>
      </c>
      <c r="B130" s="58"/>
      <c r="C130" s="18"/>
      <c r="D130" s="19"/>
      <c r="E130" s="86"/>
      <c r="F130" s="86"/>
      <c r="G130" s="86"/>
      <c r="H130" s="4"/>
      <c r="I130" s="4"/>
      <c r="J130" s="4"/>
      <c r="K130" s="4"/>
      <c r="L130" s="4"/>
      <c r="M130" s="2"/>
      <c r="Z130" s="2"/>
      <c r="AA130" s="35"/>
      <c r="AB130" s="35"/>
      <c r="AC130" s="32"/>
      <c r="AD130" s="32"/>
      <c r="AE130" s="1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1:56">
      <c r="A131" s="7"/>
      <c r="B131" s="50" t="s">
        <v>428</v>
      </c>
      <c r="C131" s="18"/>
      <c r="D131" s="19"/>
      <c r="E131" s="86"/>
      <c r="F131" s="86"/>
      <c r="G131" s="86"/>
      <c r="H131" s="47"/>
      <c r="I131" s="13" t="str">
        <f>"   Total "&amp;I128</f>
        <v xml:space="preserve">   Total Salaries</v>
      </c>
      <c r="J131" s="13"/>
      <c r="K131" s="13"/>
      <c r="L131" s="13"/>
      <c r="M131" s="13"/>
      <c r="N131" s="5">
        <f>SUMIF($I128:$I130,"Total",(N128:N130))</f>
        <v>0</v>
      </c>
      <c r="O131" s="5">
        <f>SUMIF($I128:$I130,"Total",(O128:O130))</f>
        <v>0</v>
      </c>
      <c r="P131" s="5">
        <f>SUMIF($I128:$I130,"Total",(P128:P130))</f>
        <v>0</v>
      </c>
      <c r="Q131" s="5">
        <f>SUMIF($I128:$I130,"Total",(Q128:Q130))</f>
        <v>0</v>
      </c>
      <c r="R131" s="5">
        <f>SUMIF($I128:$I130,"Total",(R128:R130))</f>
        <v>0</v>
      </c>
      <c r="S131" s="5">
        <f>SUMIF($I128:$I130,"Total",(S128:S130))</f>
        <v>0</v>
      </c>
      <c r="T131" s="5">
        <f>SUMIF($I128:$I130,"Total",(T128:T130))</f>
        <v>0</v>
      </c>
      <c r="U131" s="5">
        <f>SUMIF($I128:$I130,"Total",(U128:U130))</f>
        <v>0</v>
      </c>
      <c r="V131" s="5">
        <f>SUMIF($I128:$I130,"Total",(V128:V130))</f>
        <v>0</v>
      </c>
      <c r="W131" s="5">
        <f>SUMIF($I128:$I130,"Total",(W128:W130))</f>
        <v>0</v>
      </c>
      <c r="X131" s="5">
        <f>SUMIF($I128:$I130,"Total",(X128:X130))</f>
        <v>0</v>
      </c>
      <c r="Y131" s="5">
        <f>SUMIF($I128:$I130,"Total",(Y128:Y130))</f>
        <v>0</v>
      </c>
      <c r="Z131" s="5">
        <f>SUM(Z128:Z130)</f>
        <v>0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>
      <c r="A132" s="7"/>
      <c r="B132" s="50"/>
      <c r="C132" s="18"/>
      <c r="D132" s="19"/>
      <c r="E132" s="86"/>
      <c r="F132" s="86"/>
      <c r="G132" s="86"/>
      <c r="H132" s="47"/>
      <c r="I132" s="192" t="s">
        <v>554</v>
      </c>
      <c r="J132" s="13"/>
      <c r="K132" s="13"/>
      <c r="L132" s="13"/>
      <c r="M132" s="13"/>
      <c r="N132" s="193">
        <f>IF(N123=0,0,N131/N123)</f>
        <v>0</v>
      </c>
      <c r="O132" s="193">
        <f>IF(O123=0,0,O131/O123)</f>
        <v>0</v>
      </c>
      <c r="P132" s="193">
        <f>IF(P123=0,0,P131/P123)</f>
        <v>0</v>
      </c>
      <c r="Q132" s="193">
        <f>IF(Q123=0,0,Q131/Q123)</f>
        <v>0</v>
      </c>
      <c r="R132" s="193">
        <f>IF(R123=0,0,R131/R123)</f>
        <v>0</v>
      </c>
      <c r="S132" s="193">
        <f>IF(S123=0,0,S131/S123)</f>
        <v>0</v>
      </c>
      <c r="T132" s="193">
        <f>IF(T123=0,0,T131/T123)</f>
        <v>0</v>
      </c>
      <c r="U132" s="193">
        <f>IF(U123=0,0,U131/U123)</f>
        <v>0</v>
      </c>
      <c r="V132" s="193">
        <f>IF(V123=0,0,V131/V123)</f>
        <v>0</v>
      </c>
      <c r="W132" s="193">
        <f>IF(W123=0,0,W131/W123)</f>
        <v>0</v>
      </c>
      <c r="X132" s="193">
        <f>IF(X123=0,0,X131/X123)</f>
        <v>0</v>
      </c>
      <c r="Y132" s="193">
        <f>IF(Y123=0,0,Y131/Y123)</f>
        <v>0</v>
      </c>
      <c r="Z132" s="193">
        <f>IF(Z123=0,0,Z131/Z123)</f>
        <v>0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>
      <c r="A133" s="7"/>
      <c r="B133" s="50"/>
      <c r="C133" s="18"/>
      <c r="D133" s="19"/>
      <c r="E133" s="86"/>
      <c r="F133" s="86"/>
      <c r="G133" s="86"/>
      <c r="H133" s="47"/>
      <c r="I133" s="192" t="s">
        <v>570</v>
      </c>
      <c r="J133" s="13"/>
      <c r="K133" s="13"/>
      <c r="L133" s="13"/>
      <c r="M133" s="13"/>
      <c r="N133" s="193">
        <f>IF(N81=0,0,N131/N81)</f>
        <v>0</v>
      </c>
      <c r="O133" s="193">
        <f>IF(O81=0,0,O131/O81)</f>
        <v>0</v>
      </c>
      <c r="P133" s="193">
        <f>IF(P81=0,0,P131/P81)</f>
        <v>0</v>
      </c>
      <c r="Q133" s="193">
        <f>IF(Q81=0,0,Q131/Q81)</f>
        <v>0</v>
      </c>
      <c r="R133" s="193">
        <f>IF(R81=0,0,R131/R81)</f>
        <v>0</v>
      </c>
      <c r="S133" s="193">
        <f>IF(S81=0,0,S131/S81)</f>
        <v>0</v>
      </c>
      <c r="T133" s="193">
        <f>IF(T81=0,0,T131/T81)</f>
        <v>0</v>
      </c>
      <c r="U133" s="193">
        <f>IF(U81=0,0,U131/U81)</f>
        <v>0</v>
      </c>
      <c r="V133" s="193">
        <f>IF(V81=0,0,V131/V81)</f>
        <v>0</v>
      </c>
      <c r="W133" s="193">
        <f>IF(W81=0,0,W131/W81)</f>
        <v>0</v>
      </c>
      <c r="X133" s="193">
        <f>IF(X81=0,0,X131/X81)</f>
        <v>0</v>
      </c>
      <c r="Y133" s="193">
        <f>IF(Y81=0,0,Y131/Y81)</f>
        <v>0</v>
      </c>
      <c r="Z133" s="193">
        <f>IF(Z81=0,0,Z131/Z81)</f>
        <v>0</v>
      </c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>
      <c r="A134" s="7"/>
      <c r="B134" s="50"/>
      <c r="C134" s="18"/>
      <c r="D134" s="19"/>
      <c r="E134" s="86"/>
      <c r="F134" s="86"/>
      <c r="G134" s="86"/>
      <c r="H134" s="47"/>
      <c r="I134" s="63"/>
      <c r="J134" s="2"/>
      <c r="K134" s="2"/>
      <c r="L134" s="2"/>
      <c r="M134" s="2"/>
      <c r="Z134" s="2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>
      <c r="A135" s="1"/>
      <c r="B135" s="50" t="s">
        <v>152</v>
      </c>
      <c r="C135" s="18"/>
      <c r="D135" s="19"/>
      <c r="E135" s="86"/>
      <c r="F135" s="86"/>
      <c r="G135" s="86"/>
      <c r="H135" s="4"/>
      <c r="I135" s="54" t="s">
        <v>152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>
      <c r="A136" s="79" t="str">
        <f>"[AQ3;"&amp;B136&amp;"]"</f>
        <v>[AQ3;ACCT.BudgetType='Benefits']</v>
      </c>
      <c r="B136" s="50" t="str">
        <f>"ACCT.BudgetType='"&amp;B135&amp;"'"</f>
        <v>ACCT.BudgetType='Benefits'</v>
      </c>
      <c r="C136" s="18"/>
      <c r="D136" s="19"/>
      <c r="E136" s="86"/>
      <c r="F136" s="86"/>
      <c r="G136" s="8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3"/>
      <c r="BC136" s="3"/>
      <c r="BD136" s="3"/>
    </row>
    <row r="137" spans="1:56">
      <c r="A137" s="14" t="s">
        <v>292</v>
      </c>
      <c r="B137" s="58"/>
      <c r="C137" s="18"/>
      <c r="D137" s="19"/>
      <c r="E137" s="86"/>
      <c r="F137" s="86"/>
      <c r="G137" s="86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5"/>
      <c r="AB137" s="35"/>
      <c r="AC137" s="32"/>
      <c r="AD137" s="32"/>
      <c r="AE137" s="1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1:56">
      <c r="A138" s="7"/>
      <c r="B138" s="50" t="s">
        <v>428</v>
      </c>
      <c r="C138" s="18"/>
      <c r="D138" s="19"/>
      <c r="E138" s="86"/>
      <c r="F138" s="86"/>
      <c r="G138" s="86"/>
      <c r="H138" s="47"/>
      <c r="I138" s="13" t="str">
        <f>"   Total "&amp;I135</f>
        <v xml:space="preserve">   Total Benefits</v>
      </c>
      <c r="J138" s="13"/>
      <c r="K138" s="13"/>
      <c r="L138" s="13"/>
      <c r="M138" s="13"/>
      <c r="N138" s="5">
        <f>SUMIF($I135:$I137,"Total",(N135:N137))</f>
        <v>0</v>
      </c>
      <c r="O138" s="5">
        <f>SUMIF($I135:$I137,"Total",(O135:O137))</f>
        <v>0</v>
      </c>
      <c r="P138" s="5">
        <f>SUMIF($I135:$I137,"Total",(P135:P137))</f>
        <v>0</v>
      </c>
      <c r="Q138" s="5">
        <f>SUMIF($I135:$I137,"Total",(Q135:Q137))</f>
        <v>0</v>
      </c>
      <c r="R138" s="5">
        <f>SUMIF($I135:$I137,"Total",(R135:R137))</f>
        <v>0</v>
      </c>
      <c r="S138" s="5">
        <f>SUMIF($I135:$I137,"Total",(S135:S137))</f>
        <v>0</v>
      </c>
      <c r="T138" s="5">
        <f>SUMIF($I135:$I137,"Total",(T135:T137))</f>
        <v>0</v>
      </c>
      <c r="U138" s="5">
        <f>SUMIF($I135:$I137,"Total",(U135:U137))</f>
        <v>0</v>
      </c>
      <c r="V138" s="5">
        <f>SUMIF($I135:$I137,"Total",(V135:V137))</f>
        <v>0</v>
      </c>
      <c r="W138" s="5">
        <f>SUMIF($I135:$I137,"Total",(W135:W137))</f>
        <v>0</v>
      </c>
      <c r="X138" s="5">
        <f>SUMIF($I135:$I137,"Total",(X135:X137))</f>
        <v>0</v>
      </c>
      <c r="Y138" s="5">
        <f>SUMIF($I135:$I137,"Total",(Y135:Y137))</f>
        <v>0</v>
      </c>
      <c r="Z138" s="5">
        <f>SUM(Z135:Z137)</f>
        <v>0</v>
      </c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>
      <c r="A139" s="7"/>
      <c r="B139" s="50"/>
      <c r="C139" s="18"/>
      <c r="D139" s="19"/>
      <c r="E139" s="86"/>
      <c r="F139" s="86"/>
      <c r="G139" s="86"/>
      <c r="H139" s="47"/>
      <c r="I139" s="192" t="s">
        <v>569</v>
      </c>
      <c r="J139" s="13"/>
      <c r="K139" s="13"/>
      <c r="L139" s="13"/>
      <c r="M139" s="13"/>
      <c r="N139" s="193">
        <f>IF(N81=0,0,N138/N81)</f>
        <v>0</v>
      </c>
      <c r="O139" s="193">
        <f>IF(O81=0,0,O138/O81)</f>
        <v>0</v>
      </c>
      <c r="P139" s="193">
        <f>IF(P81=0,0,P138/P81)</f>
        <v>0</v>
      </c>
      <c r="Q139" s="193">
        <f>IF(Q81=0,0,Q138/Q81)</f>
        <v>0</v>
      </c>
      <c r="R139" s="193">
        <f>IF(R81=0,0,R138/R81)</f>
        <v>0</v>
      </c>
      <c r="S139" s="193">
        <f>IF(S81=0,0,S138/S81)</f>
        <v>0</v>
      </c>
      <c r="T139" s="193">
        <f>IF(T81=0,0,T138/T81)</f>
        <v>0</v>
      </c>
      <c r="U139" s="193">
        <f>IF(U81=0,0,U138/U81)</f>
        <v>0</v>
      </c>
      <c r="V139" s="193">
        <f>IF(V81=0,0,V138/V81)</f>
        <v>0</v>
      </c>
      <c r="W139" s="193">
        <f>IF(W81=0,0,W138/W81)</f>
        <v>0</v>
      </c>
      <c r="X139" s="193">
        <f>IF(X81=0,0,X138/X81)</f>
        <v>0</v>
      </c>
      <c r="Y139" s="193">
        <f>IF(Y81=0,0,Y138/Y81)</f>
        <v>0</v>
      </c>
      <c r="Z139" s="193">
        <f>IF(Z81=0,0,Z138/Z81)</f>
        <v>0</v>
      </c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>
      <c r="A140" s="7"/>
      <c r="B140" s="50"/>
      <c r="C140" s="18"/>
      <c r="D140" s="19"/>
      <c r="E140" s="86"/>
      <c r="F140" s="86"/>
      <c r="G140" s="86"/>
      <c r="H140" s="47"/>
      <c r="I140" s="6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>
      <c r="A141" s="7"/>
      <c r="B141" s="50" t="s">
        <v>391</v>
      </c>
      <c r="C141" s="18"/>
      <c r="D141" s="19"/>
      <c r="E141" s="86"/>
      <c r="F141" s="86"/>
      <c r="G141" s="86"/>
      <c r="H141" s="47"/>
      <c r="I141" s="54" t="s">
        <v>391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>
      <c r="A142" s="79" t="str">
        <f>"[AQ3;"&amp;B142&amp;"]"</f>
        <v>[AQ3;ACCT.BudgetType='Supplies']</v>
      </c>
      <c r="B142" s="50" t="str">
        <f>"ACCT.BudgetType='"&amp;B141&amp;"'"</f>
        <v>ACCT.BudgetType='Supplies'</v>
      </c>
      <c r="C142" s="18"/>
      <c r="D142" s="19"/>
      <c r="E142" s="86"/>
      <c r="F142" s="86"/>
      <c r="G142" s="86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1:56">
      <c r="A143" s="14" t="s">
        <v>292</v>
      </c>
      <c r="B143" s="58"/>
      <c r="C143" s="18"/>
      <c r="D143" s="19"/>
      <c r="E143" s="86"/>
      <c r="F143" s="86"/>
      <c r="G143" s="86"/>
      <c r="H143" s="4"/>
      <c r="I143" s="4"/>
      <c r="J143" s="4"/>
      <c r="K143" s="4"/>
      <c r="L143" s="4"/>
      <c r="M143" s="2"/>
      <c r="Z143" s="2"/>
      <c r="AA143" s="35"/>
      <c r="AB143" s="35"/>
      <c r="AC143" s="32"/>
      <c r="AD143" s="32"/>
      <c r="AE143" s="1"/>
      <c r="AF143" s="1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1:56">
      <c r="A144" s="7"/>
      <c r="B144" s="50" t="s">
        <v>428</v>
      </c>
      <c r="C144" s="18"/>
      <c r="D144" s="19"/>
      <c r="E144" s="86"/>
      <c r="F144" s="86"/>
      <c r="G144" s="86"/>
      <c r="H144" s="47"/>
      <c r="I144" s="13" t="str">
        <f>"   Total "&amp;I141</f>
        <v xml:space="preserve">   Total Supplies</v>
      </c>
      <c r="J144" s="13"/>
      <c r="K144" s="13"/>
      <c r="L144" s="13"/>
      <c r="M144" s="13"/>
      <c r="N144" s="5">
        <f>SUMIF($I141:$I143,"Total",(N141:N143))</f>
        <v>0</v>
      </c>
      <c r="O144" s="5">
        <f>SUMIF($I141:$I143,"Total",(O141:O143))</f>
        <v>0</v>
      </c>
      <c r="P144" s="5">
        <f>SUMIF($I141:$I143,"Total",(P141:P143))</f>
        <v>0</v>
      </c>
      <c r="Q144" s="5">
        <f>SUMIF($I141:$I143,"Total",(Q141:Q143))</f>
        <v>0</v>
      </c>
      <c r="R144" s="5">
        <f>SUMIF($I141:$I143,"Total",(R141:R143))</f>
        <v>0</v>
      </c>
      <c r="S144" s="5">
        <f>SUMIF($I141:$I143,"Total",(S141:S143))</f>
        <v>0</v>
      </c>
      <c r="T144" s="5">
        <f>SUMIF($I141:$I143,"Total",(T141:T143))</f>
        <v>0</v>
      </c>
      <c r="U144" s="5">
        <f>SUMIF($I141:$I143,"Total",(U141:U143))</f>
        <v>0</v>
      </c>
      <c r="V144" s="5">
        <f>SUMIF($I141:$I143,"Total",(V141:V143))</f>
        <v>0</v>
      </c>
      <c r="W144" s="5">
        <f>SUMIF($I141:$I143,"Total",(W141:W143))</f>
        <v>0</v>
      </c>
      <c r="X144" s="5">
        <f>SUMIF($I141:$I143,"Total",(X141:X143))</f>
        <v>0</v>
      </c>
      <c r="Y144" s="5">
        <f>SUMIF($I141:$I143,"Total",(Y141:Y143))</f>
        <v>0</v>
      </c>
      <c r="Z144" s="5">
        <f>SUM(Z141:Z143)</f>
        <v>0</v>
      </c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>
      <c r="A145" s="7"/>
      <c r="B145" s="50"/>
      <c r="C145" s="18"/>
      <c r="D145" s="19"/>
      <c r="E145" s="86"/>
      <c r="F145" s="86"/>
      <c r="G145" s="86"/>
      <c r="H145" s="47"/>
      <c r="I145" s="192" t="s">
        <v>567</v>
      </c>
      <c r="J145" s="13"/>
      <c r="K145" s="13"/>
      <c r="L145" s="13"/>
      <c r="M145" s="13"/>
      <c r="N145" s="193">
        <f>IF(N81=0,0,N144/N81)</f>
        <v>0</v>
      </c>
      <c r="O145" s="193">
        <f>IF(O81=0,0,O144/O81)</f>
        <v>0</v>
      </c>
      <c r="P145" s="193">
        <f>IF(P81=0,0,P144/P81)</f>
        <v>0</v>
      </c>
      <c r="Q145" s="193">
        <f>IF(Q81=0,0,Q144/Q81)</f>
        <v>0</v>
      </c>
      <c r="R145" s="193">
        <f>IF(R81=0,0,R144/R81)</f>
        <v>0</v>
      </c>
      <c r="S145" s="193">
        <f>IF(S81=0,0,S144/S81)</f>
        <v>0</v>
      </c>
      <c r="T145" s="193">
        <f>IF(T81=0,0,T144/T81)</f>
        <v>0</v>
      </c>
      <c r="U145" s="193">
        <f>IF(U81=0,0,U144/U81)</f>
        <v>0</v>
      </c>
      <c r="V145" s="193">
        <f>IF(V81=0,0,V144/V81)</f>
        <v>0</v>
      </c>
      <c r="W145" s="193">
        <f>IF(W81=0,0,W144/W81)</f>
        <v>0</v>
      </c>
      <c r="X145" s="193">
        <f>IF(X81=0,0,X144/X81)</f>
        <v>0</v>
      </c>
      <c r="Y145" s="193">
        <f>IF(Y81=0,0,Y144/Y81)</f>
        <v>0</v>
      </c>
      <c r="Z145" s="193">
        <f>IF(Z81=0,0,Z144/Z81)</f>
        <v>0</v>
      </c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>
      <c r="A146" s="7"/>
      <c r="B146" s="50"/>
      <c r="C146" s="18"/>
      <c r="D146" s="19"/>
      <c r="E146" s="86"/>
      <c r="F146" s="86"/>
      <c r="G146" s="86"/>
      <c r="H146" s="47"/>
      <c r="I146" s="63"/>
      <c r="J146" s="2"/>
      <c r="K146" s="2"/>
      <c r="L146" s="2"/>
      <c r="M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>
      <c r="A147" s="1"/>
      <c r="B147" s="50" t="s">
        <v>192</v>
      </c>
      <c r="C147" s="18"/>
      <c r="D147" s="19"/>
      <c r="E147" s="86"/>
      <c r="F147" s="86"/>
      <c r="G147" s="86"/>
      <c r="H147" s="4"/>
      <c r="I147" s="54" t="s">
        <v>315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>
      <c r="A148" s="79" t="str">
        <f>"[AQ3;"&amp;B148&amp;"]"</f>
        <v>[AQ3;ACCT.BudgetType='OtherExp']</v>
      </c>
      <c r="B148" s="50" t="str">
        <f>"ACCT.BudgetType='"&amp;B147&amp;"'"</f>
        <v>ACCT.BudgetType='OtherExp'</v>
      </c>
      <c r="C148" s="18"/>
      <c r="D148" s="19"/>
      <c r="E148" s="86"/>
      <c r="F148" s="86"/>
      <c r="G148" s="8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2"/>
      <c r="AA148" s="35"/>
      <c r="AB148" s="35"/>
      <c r="AC148" s="32"/>
      <c r="AD148" s="32"/>
      <c r="AE148" s="1"/>
      <c r="AF148" s="1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</row>
    <row r="149" spans="1:56">
      <c r="A149" s="14" t="s">
        <v>292</v>
      </c>
      <c r="B149" s="58"/>
      <c r="C149" s="18"/>
      <c r="D149" s="19"/>
      <c r="E149" s="86"/>
      <c r="F149" s="86"/>
      <c r="G149" s="86"/>
      <c r="H149" s="4"/>
      <c r="I149" s="4"/>
      <c r="J149" s="4"/>
      <c r="K149" s="4"/>
      <c r="L149" s="4"/>
      <c r="M149" s="4"/>
      <c r="Z149" s="2"/>
      <c r="AA149" s="35"/>
      <c r="AB149" s="35"/>
      <c r="AC149" s="32"/>
      <c r="AD149" s="32"/>
      <c r="AE149" s="1"/>
      <c r="AF149" s="1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</row>
    <row r="150" spans="1:56">
      <c r="A150" s="7"/>
      <c r="B150" s="50" t="s">
        <v>428</v>
      </c>
      <c r="C150" s="18"/>
      <c r="D150" s="19"/>
      <c r="E150" s="86"/>
      <c r="F150" s="86"/>
      <c r="G150" s="86"/>
      <c r="H150" s="47"/>
      <c r="I150" s="13" t="str">
        <f>"   Total "&amp;I147</f>
        <v xml:space="preserve">   Total Other Expenses</v>
      </c>
      <c r="J150" s="13"/>
      <c r="K150" s="13"/>
      <c r="L150" s="13"/>
      <c r="M150" s="13"/>
      <c r="N150" s="5">
        <f>SUMIF($I147:$I149,"Total",(N147:N149))</f>
        <v>0</v>
      </c>
      <c r="O150" s="5">
        <f>SUMIF($I147:$I149,"Total",(O147:O149))</f>
        <v>0</v>
      </c>
      <c r="P150" s="5">
        <f>SUMIF($I147:$I149,"Total",(P147:P149))</f>
        <v>0</v>
      </c>
      <c r="Q150" s="5">
        <f>SUMIF($I147:$I149,"Total",(Q147:Q149))</f>
        <v>0</v>
      </c>
      <c r="R150" s="5">
        <f>SUMIF($I147:$I149,"Total",(R147:R149))</f>
        <v>0</v>
      </c>
      <c r="S150" s="5">
        <f>SUMIF($I147:$I149,"Total",(S147:S149))</f>
        <v>0</v>
      </c>
      <c r="T150" s="5">
        <f>SUMIF($I147:$I149,"Total",(T147:T149))</f>
        <v>0</v>
      </c>
      <c r="U150" s="5">
        <f>SUMIF($I147:$I149,"Total",(U147:U149))</f>
        <v>0</v>
      </c>
      <c r="V150" s="5">
        <f>SUMIF($I147:$I149,"Total",(V147:V149))</f>
        <v>0</v>
      </c>
      <c r="W150" s="5">
        <f>SUMIF($I147:$I149,"Total",(W147:W149))</f>
        <v>0</v>
      </c>
      <c r="X150" s="5">
        <f>SUMIF($I147:$I149,"Total",(X147:X149))</f>
        <v>0</v>
      </c>
      <c r="Y150" s="5">
        <f>SUMIF($I147:$I149,"Total",(Y147:Y149))</f>
        <v>0</v>
      </c>
      <c r="Z150" s="5">
        <f>SUM(Z147:Z149)</f>
        <v>0</v>
      </c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>
      <c r="A151" s="7"/>
      <c r="B151" s="50"/>
      <c r="C151" s="18"/>
      <c r="D151" s="19"/>
      <c r="E151" s="86"/>
      <c r="F151" s="86"/>
      <c r="G151" s="86"/>
      <c r="H151" s="47"/>
      <c r="I151" s="192" t="s">
        <v>566</v>
      </c>
      <c r="J151" s="13"/>
      <c r="K151" s="13"/>
      <c r="L151" s="13"/>
      <c r="M151" s="13"/>
      <c r="N151" s="193">
        <f>IF(N81=0,0,N150/N81)</f>
        <v>0</v>
      </c>
      <c r="O151" s="193">
        <f>IF(O81=0,0,O150/O81)</f>
        <v>0</v>
      </c>
      <c r="P151" s="193">
        <f>IF(P81=0,0,P150/P81)</f>
        <v>0</v>
      </c>
      <c r="Q151" s="193">
        <f>IF(Q81=0,0,Q150/Q81)</f>
        <v>0</v>
      </c>
      <c r="R151" s="193">
        <f>IF(R81=0,0,R150/R81)</f>
        <v>0</v>
      </c>
      <c r="S151" s="193">
        <f>IF(S81=0,0,S150/S81)</f>
        <v>0</v>
      </c>
      <c r="T151" s="193">
        <f>IF(T81=0,0,T150/T81)</f>
        <v>0</v>
      </c>
      <c r="U151" s="193">
        <f>IF(U81=0,0,U150/U81)</f>
        <v>0</v>
      </c>
      <c r="V151" s="193">
        <f>IF(V81=0,0,V150/V81)</f>
        <v>0</v>
      </c>
      <c r="W151" s="193">
        <f>IF(W81=0,0,W150/W81)</f>
        <v>0</v>
      </c>
      <c r="X151" s="193">
        <f>IF(X81=0,0,X150/X81)</f>
        <v>0</v>
      </c>
      <c r="Y151" s="193">
        <f>IF(Y81=0,0,Y150/Y81)</f>
        <v>0</v>
      </c>
      <c r="Z151" s="193">
        <f>IF(Z81=0,0,Z150/Z81)</f>
        <v>0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>
      <c r="A152" s="7"/>
      <c r="B152" s="76"/>
      <c r="C152" s="18"/>
      <c r="D152" s="19"/>
      <c r="E152" s="86"/>
      <c r="F152" s="86"/>
      <c r="G152" s="86"/>
      <c r="H152" s="47"/>
      <c r="I152" s="63"/>
      <c r="J152" s="2"/>
      <c r="K152" s="2"/>
      <c r="L152" s="2"/>
      <c r="M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>
      <c r="A153" s="1"/>
      <c r="B153" s="1"/>
      <c r="C153" s="18"/>
      <c r="D153" s="19"/>
      <c r="E153" s="86"/>
      <c r="F153" s="86"/>
      <c r="G153" s="86"/>
      <c r="H153" s="4"/>
      <c r="I153" s="7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>
      <c r="A154" s="1"/>
      <c r="B154" s="1"/>
      <c r="C154" s="18"/>
      <c r="D154" s="19"/>
      <c r="E154" s="86"/>
      <c r="F154" s="86"/>
      <c r="G154" s="86"/>
      <c r="H154" s="4"/>
      <c r="I154" s="13" t="s">
        <v>453</v>
      </c>
      <c r="J154" s="13"/>
      <c r="K154" s="13"/>
      <c r="L154" s="13"/>
      <c r="M154" s="13"/>
      <c r="N154" s="5">
        <f>N150+N144+N138+N131</f>
        <v>0</v>
      </c>
      <c r="O154" s="5">
        <f>O150+O144+O138+O131</f>
        <v>0</v>
      </c>
      <c r="P154" s="5">
        <f>P150+P144+P138+P131</f>
        <v>0</v>
      </c>
      <c r="Q154" s="5">
        <f>Q150+Q144+Q138+Q131</f>
        <v>0</v>
      </c>
      <c r="R154" s="5">
        <f>R150+R144+R138+R131</f>
        <v>0</v>
      </c>
      <c r="S154" s="5">
        <f>S150+S144+S138+S131</f>
        <v>0</v>
      </c>
      <c r="T154" s="5">
        <f>T150+T144+T138+T131</f>
        <v>0</v>
      </c>
      <c r="U154" s="5">
        <f>U150+U144+U138+U131</f>
        <v>0</v>
      </c>
      <c r="V154" s="5">
        <f>V150+V144+V138+V131</f>
        <v>0</v>
      </c>
      <c r="W154" s="5">
        <f>W150+W144+W138+W131</f>
        <v>0</v>
      </c>
      <c r="X154" s="5">
        <f>X150+X144+X138+X131</f>
        <v>0</v>
      </c>
      <c r="Y154" s="5">
        <f>Y150+Y144+Y138+Y131</f>
        <v>0</v>
      </c>
      <c r="Z154" s="5">
        <f>Z150+Z144+Z138+Z131</f>
        <v>0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>
      <c r="A155" s="1"/>
      <c r="B155" s="1"/>
      <c r="C155" s="18"/>
      <c r="D155" s="19"/>
      <c r="E155" s="86"/>
      <c r="F155" s="86"/>
      <c r="G155" s="86"/>
      <c r="H155" s="4"/>
      <c r="I155" s="192" t="s">
        <v>568</v>
      </c>
      <c r="J155" s="13"/>
      <c r="K155" s="13"/>
      <c r="L155" s="13"/>
      <c r="M155" s="13"/>
      <c r="N155" s="193">
        <f>IF(N81=0,0,N154/N81)</f>
        <v>0</v>
      </c>
      <c r="O155" s="193">
        <f>IF(O81=0,0,O154/O81)</f>
        <v>0</v>
      </c>
      <c r="P155" s="193">
        <f>IF(P81=0,0,P154/P81)</f>
        <v>0</v>
      </c>
      <c r="Q155" s="193">
        <f>IF(Q81=0,0,Q154/Q81)</f>
        <v>0</v>
      </c>
      <c r="R155" s="193">
        <f>IF(R81=0,0,R154/R81)</f>
        <v>0</v>
      </c>
      <c r="S155" s="193">
        <f>IF(S81=0,0,S154/S81)</f>
        <v>0</v>
      </c>
      <c r="T155" s="193">
        <f>IF(T81=0,0,T154/T81)</f>
        <v>0</v>
      </c>
      <c r="U155" s="193">
        <f>IF(U81=0,0,U154/U81)</f>
        <v>0</v>
      </c>
      <c r="V155" s="193">
        <f>IF(V81=0,0,V154/V81)</f>
        <v>0</v>
      </c>
      <c r="W155" s="193">
        <f>IF(W81=0,0,W154/W81)</f>
        <v>0</v>
      </c>
      <c r="X155" s="193">
        <f>IF(X81=0,0,X154/X81)</f>
        <v>0</v>
      </c>
      <c r="Y155" s="193">
        <f>IF(Y81=0,0,Y154/Y81)</f>
        <v>0</v>
      </c>
      <c r="Z155" s="193">
        <f>IF(Z81=0,0,Z154/Z81)</f>
        <v>0</v>
      </c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>
      <c r="A156" s="1"/>
      <c r="B156" s="56"/>
      <c r="C156" s="18"/>
      <c r="D156" s="19"/>
      <c r="E156" s="86"/>
      <c r="F156" s="86"/>
      <c r="G156" s="86"/>
      <c r="H156" s="1"/>
      <c r="I156" s="5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>
      <c r="A157" s="1"/>
      <c r="B157" s="56"/>
      <c r="C157" s="18"/>
      <c r="D157" s="19"/>
      <c r="E157" s="86"/>
      <c r="F157" s="86"/>
      <c r="G157" s="86"/>
      <c r="H157" s="1"/>
      <c r="I157" s="77" t="s">
        <v>392</v>
      </c>
      <c r="J157" s="77"/>
      <c r="K157" s="77"/>
      <c r="L157" s="77"/>
      <c r="M157" s="77"/>
      <c r="N157" s="45">
        <f>N117-N154</f>
        <v>0</v>
      </c>
      <c r="O157" s="45">
        <f>O117-O154</f>
        <v>0</v>
      </c>
      <c r="P157" s="45">
        <f>P117-P154</f>
        <v>0</v>
      </c>
      <c r="Q157" s="45">
        <f>Q117-Q154</f>
        <v>0</v>
      </c>
      <c r="R157" s="45">
        <f>R117-R154</f>
        <v>0</v>
      </c>
      <c r="S157" s="45">
        <f>S117-S154</f>
        <v>0</v>
      </c>
      <c r="T157" s="45">
        <f>T117-T154</f>
        <v>0</v>
      </c>
      <c r="U157" s="45">
        <f>U117-U154</f>
        <v>0</v>
      </c>
      <c r="V157" s="45">
        <f>V117-V154</f>
        <v>0</v>
      </c>
      <c r="W157" s="45">
        <f>W117-W154</f>
        <v>0</v>
      </c>
      <c r="X157" s="45">
        <f>X117-X154</f>
        <v>0</v>
      </c>
      <c r="Y157" s="45">
        <f>Y117-Y154</f>
        <v>0</v>
      </c>
      <c r="Z157" s="45">
        <f>Z117-Z154</f>
        <v>0</v>
      </c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>
      <c r="A158" s="1"/>
      <c r="B158" s="56"/>
      <c r="C158" s="18"/>
      <c r="D158" s="19"/>
      <c r="E158" s="86"/>
      <c r="F158" s="86"/>
      <c r="G158" s="86"/>
      <c r="H158" s="1"/>
      <c r="I158" s="5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>
      <c r="A159" s="1"/>
      <c r="B159" s="56"/>
      <c r="C159" s="18"/>
      <c r="D159" s="19"/>
      <c r="E159" s="86"/>
      <c r="F159" s="86"/>
      <c r="G159" s="86"/>
      <c r="H159" s="1"/>
      <c r="I159" s="5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>
      <c r="A160" s="1"/>
      <c r="B160" s="1"/>
      <c r="C160" s="18"/>
      <c r="D160" s="19"/>
      <c r="E160" s="86"/>
      <c r="F160" s="86"/>
      <c r="G160" s="86"/>
      <c r="H160" s="1"/>
      <c r="I160" s="5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>
      <c r="A161" s="1"/>
      <c r="B161" s="1"/>
      <c r="C161" s="18"/>
      <c r="D161" s="19"/>
      <c r="E161" s="86"/>
      <c r="F161" s="86"/>
      <c r="G161" s="86"/>
      <c r="H161" s="1"/>
      <c r="I161" s="5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>
      <c r="A162" s="1"/>
      <c r="B162" s="1"/>
      <c r="C162" s="18"/>
      <c r="D162" s="19"/>
      <c r="E162" s="86"/>
      <c r="F162" s="86"/>
      <c r="G162" s="86"/>
      <c r="H162" s="1"/>
      <c r="I162" s="5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>
      <c r="A163" s="1"/>
      <c r="B163" s="1"/>
      <c r="C163" s="18"/>
      <c r="D163" s="19"/>
      <c r="E163" s="86"/>
      <c r="F163" s="86"/>
      <c r="G163" s="86"/>
      <c r="H163" s="1"/>
      <c r="I163" s="5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>
      <c r="A164" s="1"/>
      <c r="B164" s="1"/>
      <c r="C164" s="18"/>
      <c r="D164" s="19"/>
      <c r="E164" s="86"/>
      <c r="F164" s="86"/>
      <c r="G164" s="86"/>
      <c r="H164" s="1"/>
      <c r="I164" s="5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>
      <c r="A165" s="1"/>
      <c r="B165" s="1"/>
      <c r="C165" s="18"/>
      <c r="D165" s="19"/>
      <c r="E165" s="86"/>
      <c r="F165" s="86"/>
      <c r="G165" s="86"/>
      <c r="H165" s="1"/>
      <c r="I165" s="5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>
      <c r="A166" s="1"/>
      <c r="B166" s="1"/>
      <c r="C166" s="18"/>
      <c r="D166" s="19"/>
      <c r="E166" s="86"/>
      <c r="F166" s="86"/>
      <c r="G166" s="86"/>
      <c r="H166" s="1"/>
      <c r="I166" s="5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>
      <c r="A167" s="1"/>
      <c r="B167" s="1"/>
      <c r="C167" s="18"/>
      <c r="D167" s="19"/>
      <c r="E167" s="86"/>
      <c r="F167" s="86"/>
      <c r="G167" s="86"/>
      <c r="H167" s="1"/>
      <c r="I167" s="5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>
      <c r="A168" s="1"/>
      <c r="B168" s="1"/>
      <c r="C168" s="18"/>
      <c r="D168" s="19"/>
      <c r="E168" s="86"/>
      <c r="F168" s="86"/>
      <c r="G168" s="86"/>
      <c r="H168" s="1"/>
      <c r="I168" s="5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>
      <c r="A169" s="1"/>
      <c r="B169" s="1"/>
      <c r="C169" s="18"/>
      <c r="D169" s="19"/>
      <c r="E169" s="86"/>
      <c r="F169" s="86"/>
      <c r="G169" s="86"/>
      <c r="H169" s="1"/>
      <c r="I169" s="5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>
      <c r="A170" s="1"/>
      <c r="B170" s="1"/>
      <c r="C170" s="18"/>
      <c r="D170" s="19"/>
      <c r="E170" s="86"/>
      <c r="F170" s="86"/>
      <c r="G170" s="86"/>
      <c r="H170" s="1"/>
      <c r="I170" s="5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>
      <c r="A171" s="1"/>
      <c r="B171" s="1"/>
      <c r="C171" s="18"/>
      <c r="D171" s="19"/>
      <c r="E171" s="86"/>
      <c r="F171" s="86"/>
      <c r="G171" s="86"/>
      <c r="H171" s="1"/>
      <c r="I171" s="5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>
      <c r="A172" s="1"/>
      <c r="B172" s="1"/>
      <c r="C172" s="18"/>
      <c r="D172" s="19"/>
      <c r="E172" s="86"/>
      <c r="F172" s="86"/>
      <c r="G172" s="86"/>
      <c r="H172" s="1"/>
      <c r="I172" s="5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>
      <c r="A173" s="1"/>
      <c r="B173" s="1"/>
      <c r="C173" s="18"/>
      <c r="D173" s="19"/>
      <c r="E173" s="86"/>
      <c r="F173" s="86"/>
      <c r="G173" s="86"/>
      <c r="H173" s="1"/>
      <c r="I173" s="5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>
      <c r="A174" s="1"/>
      <c r="B174" s="1"/>
      <c r="C174" s="18"/>
      <c r="D174" s="19"/>
      <c r="E174" s="86"/>
      <c r="F174" s="86"/>
      <c r="G174" s="86"/>
      <c r="H174" s="1"/>
      <c r="I174" s="5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>
      <c r="A175" s="1"/>
      <c r="B175" s="1"/>
      <c r="C175" s="1"/>
      <c r="D175" s="1"/>
      <c r="E175" s="1"/>
      <c r="F175" s="1"/>
      <c r="G175" s="1"/>
      <c r="H175" s="1"/>
      <c r="I175" s="5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</sheetData>
  <sheetProtection formatCells="0" autoFilter="0"/>
  <phoneticPr fontId="82" type="noConversion"/>
  <printOptions horizontalCentered="1"/>
  <pageMargins left="0.25" right="0.25" top="0.75" bottom="0.75" header="0.3" footer="0.3"/>
  <pageSetup scale="47" fitToHeight="0" orientation="landscape" r:id="rId1"/>
  <headerFooter>
    <oddFooter>&amp;L&amp;D &amp;T&amp;CPage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Control_FileProcessing</vt:lpstr>
      <vt:lpstr>Control_Sheet</vt:lpstr>
      <vt:lpstr>Variables</vt:lpstr>
      <vt:lpstr>Instructions</vt:lpstr>
      <vt:lpstr>DeptSpecificFcstAdj</vt:lpstr>
      <vt:lpstr>DeptSpecificFcstAdj!Print_Area</vt:lpstr>
      <vt:lpstr>DeptSpecificFcstAdj!Print_Titles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Miller, Debra</cp:lastModifiedBy>
  <dcterms:created xsi:type="dcterms:W3CDTF">2020-04-26T22:37:33Z</dcterms:created>
  <dcterms:modified xsi:type="dcterms:W3CDTF">2020-06-25T17:10:19Z</dcterms:modified>
</cp:coreProperties>
</file>